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gh\Desktop\"/>
    </mc:Choice>
  </mc:AlternateContent>
  <xr:revisionPtr revIDLastSave="0" documentId="13_ncr:1_{78C9B413-D742-45A2-AC56-6D000E5B3AC5}" xr6:coauthVersionLast="44" xr6:coauthVersionMax="44" xr10:uidLastSave="{00000000-0000-0000-0000-000000000000}"/>
  <bookViews>
    <workbookView xWindow="-120" yWindow="-120" windowWidth="29040" windowHeight="15840" xr2:uid="{8AD4B150-85DE-4983-91BE-5905CE88256D}"/>
  </bookViews>
  <sheets>
    <sheet name="Spielbericht" sheetId="1" r:id="rId1"/>
    <sheet name="Ergebnisse" sheetId="2" r:id="rId2"/>
    <sheet name="Berechnung" sheetId="3" r:id="rId3"/>
  </sheets>
  <externalReferences>
    <externalReference r:id="rId4"/>
  </externalReferences>
  <definedNames>
    <definedName name="_xlnm.Print_Area" localSheetId="0">Spielbericht!$A$1:$AZ$29</definedName>
    <definedName name="Gastmannschaft">[1]übertrag!$U$2:$V$15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2" l="1"/>
  <c r="A3" i="2"/>
  <c r="A8" i="3" l="1"/>
  <c r="A1" i="3"/>
  <c r="L38" i="2"/>
  <c r="J38" i="2"/>
  <c r="E38" i="2"/>
  <c r="C6" i="3" s="1"/>
  <c r="P16" i="1" s="1"/>
  <c r="C38" i="2"/>
  <c r="K37" i="2"/>
  <c r="D37" i="2"/>
  <c r="K36" i="2"/>
  <c r="D36" i="2"/>
  <c r="K35" i="2"/>
  <c r="D35" i="2"/>
  <c r="K34" i="2"/>
  <c r="H34" i="2"/>
  <c r="D34" i="2"/>
  <c r="F38" i="2" s="1"/>
  <c r="A34" i="2"/>
  <c r="L31" i="2"/>
  <c r="J31" i="2"/>
  <c r="E31" i="2"/>
  <c r="C5" i="3" s="1"/>
  <c r="P15" i="1" s="1"/>
  <c r="C31" i="2"/>
  <c r="K30" i="2"/>
  <c r="D30" i="2"/>
  <c r="K29" i="2"/>
  <c r="D29" i="2"/>
  <c r="K28" i="2"/>
  <c r="D28" i="2"/>
  <c r="K27" i="2"/>
  <c r="K31" i="2" s="1"/>
  <c r="H27" i="2"/>
  <c r="D27" i="2"/>
  <c r="F31" i="2" s="1"/>
  <c r="A27" i="2"/>
  <c r="L24" i="2"/>
  <c r="J24" i="2"/>
  <c r="E24" i="2"/>
  <c r="C4" i="3" s="1"/>
  <c r="P14" i="1" s="1"/>
  <c r="C24" i="2"/>
  <c r="K23" i="2"/>
  <c r="D23" i="2"/>
  <c r="K22" i="2"/>
  <c r="D22" i="2"/>
  <c r="K21" i="2"/>
  <c r="D21" i="2"/>
  <c r="K20" i="2"/>
  <c r="M24" i="2" s="1"/>
  <c r="H20" i="2"/>
  <c r="D20" i="2"/>
  <c r="F24" i="2" s="1"/>
  <c r="A20" i="2"/>
  <c r="L17" i="2"/>
  <c r="J17" i="2"/>
  <c r="E17" i="2"/>
  <c r="C3" i="3" s="1"/>
  <c r="P13" i="1" s="1"/>
  <c r="C17" i="2"/>
  <c r="K16" i="2"/>
  <c r="D16" i="2"/>
  <c r="K15" i="2"/>
  <c r="D15" i="2"/>
  <c r="K14" i="2"/>
  <c r="D14" i="2"/>
  <c r="K13" i="2"/>
  <c r="M17" i="2" s="1"/>
  <c r="H13" i="2"/>
  <c r="D13" i="2"/>
  <c r="F17" i="2" s="1"/>
  <c r="A13" i="2"/>
  <c r="L10" i="2"/>
  <c r="J10" i="2"/>
  <c r="E10" i="2"/>
  <c r="C2" i="3" s="1"/>
  <c r="P12" i="1" s="1"/>
  <c r="C10" i="2"/>
  <c r="K9" i="2"/>
  <c r="D9" i="2"/>
  <c r="K8" i="2"/>
  <c r="D8" i="2"/>
  <c r="K7" i="2"/>
  <c r="D7" i="2"/>
  <c r="K6" i="2"/>
  <c r="H6" i="2"/>
  <c r="D6" i="2"/>
  <c r="D10" i="2" s="1"/>
  <c r="A6" i="2"/>
  <c r="AK14" i="1" l="1"/>
  <c r="AK12" i="1"/>
  <c r="D6" i="3"/>
  <c r="R16" i="1" s="1"/>
  <c r="D5" i="3"/>
  <c r="R15" i="1" s="1"/>
  <c r="D4" i="3"/>
  <c r="R14" i="1"/>
  <c r="D3" i="3"/>
  <c r="R13" i="1" s="1"/>
  <c r="B2" i="3"/>
  <c r="N12" i="1"/>
  <c r="A6" i="3"/>
  <c r="J16" i="1" s="1"/>
  <c r="A5" i="3"/>
  <c r="J15" i="1" s="1"/>
  <c r="A4" i="3"/>
  <c r="J14" i="1"/>
  <c r="A3" i="3"/>
  <c r="J13" i="1"/>
  <c r="A2" i="3"/>
  <c r="J12" i="1" s="1"/>
  <c r="C13" i="3"/>
  <c r="AT16" i="1" s="1"/>
  <c r="A13" i="3"/>
  <c r="AK16" i="1" s="1"/>
  <c r="A12" i="3"/>
  <c r="AK15" i="1" s="1"/>
  <c r="B12" i="3"/>
  <c r="AP15" i="1" s="1"/>
  <c r="C12" i="3"/>
  <c r="AT15" i="1" s="1"/>
  <c r="C11" i="3"/>
  <c r="AT14" i="1" s="1"/>
  <c r="A11" i="3"/>
  <c r="D11" i="3"/>
  <c r="AU14" i="1" s="1"/>
  <c r="A10" i="3"/>
  <c r="AK13" i="1" s="1"/>
  <c r="D10" i="3"/>
  <c r="AU13" i="1" s="1"/>
  <c r="C10" i="3"/>
  <c r="AT13" i="1" s="1"/>
  <c r="C9" i="3"/>
  <c r="AT12" i="1" s="1"/>
  <c r="A9" i="3"/>
  <c r="F10" i="2"/>
  <c r="M38" i="2"/>
  <c r="M10" i="2"/>
  <c r="D38" i="2"/>
  <c r="D31" i="2"/>
  <c r="D24" i="2"/>
  <c r="D17" i="2"/>
  <c r="K38" i="2"/>
  <c r="M31" i="2"/>
  <c r="K24" i="2"/>
  <c r="K17" i="2"/>
  <c r="K10" i="2"/>
  <c r="AP13" i="1" l="1"/>
  <c r="B6" i="3"/>
  <c r="N16" i="1" s="1"/>
  <c r="B5" i="3"/>
  <c r="N15" i="1" s="1"/>
  <c r="B4" i="3"/>
  <c r="N14" i="1"/>
  <c r="B3" i="3"/>
  <c r="N13" i="1" s="1"/>
  <c r="D2" i="3"/>
  <c r="R12" i="1" s="1"/>
  <c r="B13" i="3"/>
  <c r="AP16" i="1" s="1"/>
  <c r="D13" i="3"/>
  <c r="AU16" i="1" s="1"/>
  <c r="D12" i="3"/>
  <c r="AU15" i="1" s="1"/>
  <c r="B11" i="3"/>
  <c r="AP14" i="1" s="1"/>
  <c r="B10" i="3"/>
  <c r="D9" i="3"/>
  <c r="AU12" i="1" s="1"/>
  <c r="B9" i="3"/>
  <c r="AP12" i="1" s="1"/>
  <c r="I9" i="3" l="1"/>
  <c r="H9" i="3" s="1"/>
  <c r="I2" i="3"/>
  <c r="F2" i="3" s="1"/>
  <c r="I3" i="3"/>
  <c r="J3" i="3" s="1"/>
  <c r="I4" i="3"/>
  <c r="J4" i="3" s="1"/>
  <c r="I6" i="3"/>
  <c r="G6" i="3" s="1"/>
  <c r="I5" i="3"/>
  <c r="J5" i="3" s="1"/>
  <c r="I10" i="3"/>
  <c r="J10" i="3" s="1"/>
  <c r="I13" i="3"/>
  <c r="J13" i="3" s="1"/>
  <c r="I11" i="3"/>
  <c r="J11" i="3" s="1"/>
  <c r="I12" i="3"/>
  <c r="J12" i="3" s="1"/>
  <c r="D1048576" i="3"/>
  <c r="F9" i="3" l="1"/>
  <c r="G9" i="3"/>
  <c r="J9" i="3"/>
  <c r="K11" i="3" s="1"/>
  <c r="H11" i="3"/>
  <c r="F12" i="3"/>
  <c r="G2" i="3"/>
  <c r="H2" i="3"/>
  <c r="J2" i="3"/>
  <c r="H3" i="3"/>
  <c r="H4" i="3"/>
  <c r="G3" i="3"/>
  <c r="H6" i="3"/>
  <c r="H5" i="3"/>
  <c r="F4" i="3"/>
  <c r="G4" i="3"/>
  <c r="F6" i="3"/>
  <c r="F5" i="3"/>
  <c r="F3" i="3"/>
  <c r="G5" i="3"/>
  <c r="J6" i="3"/>
  <c r="H12" i="3"/>
  <c r="F11" i="3"/>
  <c r="G11" i="3"/>
  <c r="G12" i="3"/>
  <c r="G13" i="3"/>
  <c r="F10" i="3"/>
  <c r="G10" i="3"/>
  <c r="H10" i="3"/>
  <c r="F13" i="3"/>
  <c r="H13" i="3"/>
  <c r="K13" i="3" l="1"/>
  <c r="M13" i="3" s="1"/>
  <c r="K12" i="3"/>
  <c r="M12" i="3" s="1"/>
  <c r="K9" i="3"/>
  <c r="M9" i="3" s="1"/>
  <c r="K10" i="3"/>
  <c r="M10" i="3" s="1"/>
  <c r="K5" i="3"/>
  <c r="M5" i="3" s="1"/>
  <c r="K3" i="3"/>
  <c r="M3" i="3" s="1"/>
  <c r="K6" i="3"/>
  <c r="M6" i="3" s="1"/>
  <c r="K2" i="3"/>
  <c r="M2" i="3" s="1"/>
  <c r="K4" i="3"/>
  <c r="M4" i="3" s="1"/>
  <c r="M11" i="3"/>
  <c r="N11" i="3" l="1"/>
  <c r="Q11" i="3" s="1"/>
  <c r="S11" i="3" s="1"/>
  <c r="N13" i="3"/>
  <c r="O13" i="3" s="1"/>
  <c r="N12" i="3"/>
  <c r="Q12" i="3" s="1"/>
  <c r="S12" i="3" s="1"/>
  <c r="N10" i="3"/>
  <c r="Q10" i="3" s="1"/>
  <c r="S10" i="3" s="1"/>
  <c r="N2" i="3"/>
  <c r="Q2" i="3" s="1"/>
  <c r="S2" i="3" s="1"/>
  <c r="N3" i="3"/>
  <c r="Q3" i="3" s="1"/>
  <c r="S3" i="3" s="1"/>
  <c r="N4" i="3"/>
  <c r="Q4" i="3" s="1"/>
  <c r="S4" i="3" s="1"/>
  <c r="N9" i="3"/>
  <c r="O9" i="3" s="1"/>
  <c r="N6" i="3"/>
  <c r="Q6" i="3" s="1"/>
  <c r="S6" i="3" s="1"/>
  <c r="N5" i="3"/>
  <c r="Q5" i="3" s="1"/>
  <c r="S5" i="3" s="1"/>
  <c r="O11" i="3" l="1"/>
  <c r="Q13" i="3"/>
  <c r="S13" i="3" s="1"/>
  <c r="O10" i="3"/>
  <c r="O12" i="3"/>
  <c r="O3" i="3"/>
  <c r="O2" i="3"/>
  <c r="Q9" i="3"/>
  <c r="S9" i="3" s="1"/>
  <c r="O4" i="3"/>
  <c r="O6" i="3"/>
  <c r="O5" i="3"/>
  <c r="P13" i="3" l="1"/>
  <c r="T13" i="3" s="1"/>
  <c r="P10" i="3"/>
  <c r="T10" i="3" s="1"/>
  <c r="P11" i="3"/>
  <c r="T11" i="3" s="1"/>
  <c r="P9" i="3"/>
  <c r="T9" i="3" s="1"/>
  <c r="P12" i="3"/>
  <c r="T12" i="3" s="1"/>
  <c r="P3" i="3"/>
  <c r="T3" i="3" s="1"/>
  <c r="P2" i="3"/>
  <c r="T2" i="3" s="1"/>
  <c r="P5" i="3"/>
  <c r="T5" i="3" s="1"/>
  <c r="P4" i="3"/>
  <c r="T4" i="3" s="1"/>
  <c r="P6" i="3"/>
  <c r="T6" i="3" s="1"/>
  <c r="U2" i="3" l="1"/>
  <c r="Y2" i="3" s="1"/>
  <c r="W2" i="3" s="1"/>
  <c r="U11" i="3"/>
  <c r="Y11" i="3" s="1"/>
  <c r="U10" i="3"/>
  <c r="Y10" i="3" s="1"/>
  <c r="U12" i="3"/>
  <c r="Y12" i="3" s="1"/>
  <c r="U9" i="3"/>
  <c r="Y9" i="3" s="1"/>
  <c r="U13" i="3"/>
  <c r="Y13" i="3" s="1"/>
  <c r="U4" i="3"/>
  <c r="Y4" i="3" s="1"/>
  <c r="U5" i="3"/>
  <c r="Y5" i="3" s="1"/>
  <c r="U6" i="3"/>
  <c r="Y6" i="3" s="1"/>
  <c r="U3" i="3"/>
  <c r="Y3" i="3" s="1"/>
  <c r="W9" i="3" l="1"/>
  <c r="W12" i="3"/>
  <c r="W10" i="3"/>
  <c r="AT17" i="1"/>
  <c r="W11" i="3"/>
  <c r="X2" i="3"/>
  <c r="BE12" i="1"/>
  <c r="X5" i="3"/>
  <c r="Z4" i="3"/>
  <c r="W3" i="3"/>
  <c r="Z2" i="3"/>
  <c r="X11" i="3"/>
  <c r="Z11" i="3"/>
  <c r="Z10" i="3"/>
  <c r="X10" i="3"/>
  <c r="X13" i="3"/>
  <c r="BD15" i="1" s="1"/>
  <c r="BE15" i="1"/>
  <c r="W13" i="3"/>
  <c r="AK17" i="1" s="1"/>
  <c r="Z13" i="3"/>
  <c r="BF15" i="1" s="1"/>
  <c r="X12" i="3"/>
  <c r="Z12" i="3"/>
  <c r="Z9" i="3"/>
  <c r="X9" i="3"/>
  <c r="Z5" i="3"/>
  <c r="X4" i="3"/>
  <c r="W4" i="3"/>
  <c r="W5" i="3"/>
  <c r="W6" i="3"/>
  <c r="J17" i="1" s="1"/>
  <c r="X6" i="3"/>
  <c r="N17" i="1" s="1"/>
  <c r="Z6" i="3"/>
  <c r="R17" i="1" s="1"/>
  <c r="P17" i="1"/>
  <c r="Z3" i="3"/>
  <c r="X3" i="3"/>
  <c r="AU17" i="1" l="1"/>
  <c r="AI17" i="1" s="1"/>
  <c r="BC15" i="1"/>
  <c r="AP17" i="1"/>
  <c r="BF12" i="1"/>
  <c r="BC12" i="1"/>
  <c r="BD12" i="1"/>
  <c r="I17" i="1" l="1"/>
</calcChain>
</file>

<file path=xl/sharedStrings.xml><?xml version="1.0" encoding="utf-8"?>
<sst xmlns="http://schemas.openxmlformats.org/spreadsheetml/2006/main" count="132" uniqueCount="40">
  <si>
    <t>Spielbericht</t>
  </si>
  <si>
    <t>Datum:</t>
  </si>
  <si>
    <t>Keglerverband Sachsen e.V.</t>
  </si>
  <si>
    <t>Ort / Bahnanlage:</t>
  </si>
  <si>
    <t>Spielklasse:</t>
  </si>
  <si>
    <t>HEIMMANNSCHAFT:</t>
  </si>
  <si>
    <t>GASTMANNSCHAFT:</t>
  </si>
  <si>
    <t>Name, Vorname</t>
  </si>
  <si>
    <t>Mon/Jahr</t>
  </si>
  <si>
    <t>Paß-Nr.</t>
  </si>
  <si>
    <t>Volle</t>
  </si>
  <si>
    <t>Abr.</t>
  </si>
  <si>
    <t>FW</t>
  </si>
  <si>
    <t>Gesamt</t>
  </si>
  <si>
    <t xml:space="preserve">Differenz:   </t>
  </si>
  <si>
    <t>ja</t>
  </si>
  <si>
    <t>nein</t>
  </si>
  <si>
    <t xml:space="preserve"> nein</t>
  </si>
  <si>
    <t>1) Bahn/Kugelmaterial in Ordnung</t>
  </si>
  <si>
    <t>2) Pässe in Ordnung</t>
  </si>
  <si>
    <t xml:space="preserve"> 3) Protest</t>
  </si>
  <si>
    <t>4) Verletzung</t>
  </si>
  <si>
    <t>5) Verwarnung</t>
  </si>
  <si>
    <t>6) Sonstiges</t>
  </si>
  <si>
    <t>7) Werbevertrag</t>
  </si>
  <si>
    <t>Bemerkungen zu:</t>
  </si>
  <si>
    <t>Unterschriften:</t>
  </si>
  <si>
    <t>Heimmannschaft:</t>
  </si>
  <si>
    <t>Gastmannschaft:</t>
  </si>
  <si>
    <t>Name</t>
  </si>
  <si>
    <t>Bahn</t>
  </si>
  <si>
    <t>Abräumen</t>
  </si>
  <si>
    <t>Fehler</t>
  </si>
  <si>
    <t>Sortiert</t>
  </si>
  <si>
    <t>Sortiert Gesamt</t>
  </si>
  <si>
    <t>Runden</t>
  </si>
  <si>
    <t>Rang</t>
  </si>
  <si>
    <t>Räumer</t>
  </si>
  <si>
    <t>Heim</t>
  </si>
  <si>
    <t>Gast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</si>
</sst>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"/>
    <numFmt numFmtId="165" formatCode="\+####;\-####"/>
    <numFmt numFmtId="166" formatCode="0.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21" xfId="0" applyBorder="1" applyProtection="1">
      <protection locked="0"/>
    </xf>
    <xf numFmtId="0" fontId="0" fillId="0" borderId="21" xfId="0" applyBorder="1"/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Border="1"/>
    <xf numFmtId="0" fontId="6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7" fillId="0" borderId="1" xfId="0" applyFont="1" applyBorder="1" applyProtection="1"/>
    <xf numFmtId="0" fontId="9" fillId="0" borderId="0" xfId="0" applyFont="1" applyProtection="1"/>
    <xf numFmtId="0" fontId="0" fillId="0" borderId="0" xfId="0" applyAlignment="1" applyProtection="1">
      <alignment horizontal="left"/>
    </xf>
    <xf numFmtId="0" fontId="10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165" fontId="4" fillId="0" borderId="8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23" xfId="0" applyFont="1" applyBorder="1" applyProtection="1">
      <protection locked="0"/>
    </xf>
    <xf numFmtId="0" fontId="11" fillId="0" borderId="0" xfId="0" applyFont="1" applyProtection="1"/>
    <xf numFmtId="0" fontId="11" fillId="0" borderId="22" xfId="0" applyFont="1" applyBorder="1" applyProtection="1"/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0" fillId="0" borderId="26" xfId="0" applyBorder="1" applyProtection="1"/>
    <xf numFmtId="0" fontId="4" fillId="0" borderId="0" xfId="0" applyFont="1" applyAlignment="1" applyProtection="1">
      <alignment horizontal="center"/>
    </xf>
    <xf numFmtId="14" fontId="0" fillId="0" borderId="26" xfId="0" applyNumberFormat="1" applyBorder="1" applyProtection="1"/>
    <xf numFmtId="0" fontId="0" fillId="0" borderId="27" xfId="0" applyBorder="1" applyProtection="1"/>
    <xf numFmtId="0" fontId="0" fillId="0" borderId="0" xfId="0" applyAlignment="1" applyProtection="1">
      <alignment horizontal="center"/>
    </xf>
    <xf numFmtId="49" fontId="2" fillId="0" borderId="0" xfId="0" applyNumberFormat="1" applyFont="1" applyProtection="1"/>
    <xf numFmtId="0" fontId="0" fillId="0" borderId="21" xfId="0" applyBorder="1" applyAlignment="1" applyProtection="1">
      <alignment horizontal="center"/>
    </xf>
    <xf numFmtId="0" fontId="0" fillId="0" borderId="21" xfId="0" applyBorder="1" applyProtection="1"/>
    <xf numFmtId="0" fontId="0" fillId="0" borderId="21" xfId="0" applyBorder="1" applyAlignment="1" applyProtection="1">
      <alignment horizontal="right"/>
    </xf>
    <xf numFmtId="1" fontId="3" fillId="0" borderId="19" xfId="0" applyNumberFormat="1" applyFont="1" applyBorder="1" applyAlignment="1" applyProtection="1">
      <alignment horizontal="center" vertical="center"/>
    </xf>
    <xf numFmtId="1" fontId="3" fillId="0" borderId="21" xfId="0" applyNumberFormat="1" applyFont="1" applyBorder="1" applyAlignment="1" applyProtection="1">
      <alignment horizontal="center" vertical="center"/>
    </xf>
    <xf numFmtId="1" fontId="4" fillId="0" borderId="9" xfId="0" applyNumberFormat="1" applyFont="1" applyBorder="1" applyAlignment="1" applyProtection="1">
      <alignment horizontal="center" vertical="center"/>
    </xf>
    <xf numFmtId="166" fontId="0" fillId="0" borderId="21" xfId="0" applyNumberFormat="1" applyBorder="1"/>
    <xf numFmtId="166" fontId="0" fillId="0" borderId="0" xfId="0" applyNumberFormat="1"/>
    <xf numFmtId="1" fontId="0" fillId="0" borderId="21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/>
    <xf numFmtId="166" fontId="0" fillId="0" borderId="28" xfId="0" applyNumberFormat="1" applyBorder="1"/>
    <xf numFmtId="1" fontId="3" fillId="0" borderId="34" xfId="0" applyNumberFormat="1" applyFont="1" applyBorder="1" applyAlignment="1" applyProtection="1">
      <alignment horizontal="center" vertical="center"/>
    </xf>
    <xf numFmtId="0" fontId="15" fillId="0" borderId="0" xfId="0" applyFont="1" applyBorder="1" applyProtection="1"/>
    <xf numFmtId="0" fontId="6" fillId="0" borderId="0" xfId="0" applyFont="1" applyProtection="1"/>
    <xf numFmtId="0" fontId="5" fillId="0" borderId="1" xfId="0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Protection="1"/>
    <xf numFmtId="0" fontId="10" fillId="0" borderId="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</xf>
    <xf numFmtId="0" fontId="9" fillId="0" borderId="2" xfId="0" applyFont="1" applyBorder="1" applyProtection="1">
      <protection locked="0"/>
    </xf>
    <xf numFmtId="0" fontId="8" fillId="0" borderId="0" xfId="0" applyFont="1" applyProtection="1"/>
    <xf numFmtId="49" fontId="9" fillId="0" borderId="2" xfId="0" applyNumberFormat="1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1" fontId="3" fillId="0" borderId="19" xfId="0" applyNumberFormat="1" applyFont="1" applyBorder="1" applyAlignment="1" applyProtection="1">
      <alignment horizontal="center" vertical="center"/>
    </xf>
    <xf numFmtId="1" fontId="3" fillId="0" borderId="30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17" xfId="0" applyNumberFormat="1" applyFont="1" applyBorder="1" applyAlignment="1" applyProtection="1">
      <alignment vertical="center"/>
      <protection locked="0"/>
    </xf>
    <xf numFmtId="49" fontId="3" fillId="0" borderId="16" xfId="0" applyNumberFormat="1" applyFont="1" applyBorder="1" applyAlignment="1" applyProtection="1">
      <alignment vertical="center"/>
      <protection locked="0"/>
    </xf>
    <xf numFmtId="164" fontId="3" fillId="0" borderId="15" xfId="0" applyNumberFormat="1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</xf>
    <xf numFmtId="1" fontId="3" fillId="0" borderId="21" xfId="0" applyNumberFormat="1" applyFont="1" applyBorder="1" applyAlignment="1" applyProtection="1">
      <alignment horizontal="center" vertical="center"/>
    </xf>
    <xf numFmtId="1" fontId="3" fillId="0" borderId="32" xfId="0" applyNumberFormat="1" applyFont="1" applyBorder="1" applyAlignment="1" applyProtection="1">
      <alignment horizontal="center" vertic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164" fontId="3" fillId="0" borderId="13" xfId="0" applyNumberFormat="1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29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33" xfId="0" applyNumberFormat="1" applyFont="1" applyBorder="1" applyAlignment="1" applyProtection="1">
      <alignment horizontal="center" vertical="center"/>
    </xf>
    <xf numFmtId="1" fontId="3" fillId="0" borderId="34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165" fontId="4" fillId="0" borderId="3" xfId="0" applyNumberFormat="1" applyFont="1" applyBorder="1" applyAlignment="1" applyProtection="1">
      <alignment horizontal="right" vertical="center"/>
    </xf>
    <xf numFmtId="165" fontId="4" fillId="0" borderId="4" xfId="0" applyNumberFormat="1" applyFont="1" applyBorder="1" applyAlignment="1" applyProtection="1">
      <alignment horizontal="right" vertical="center"/>
    </xf>
    <xf numFmtId="165" fontId="4" fillId="0" borderId="4" xfId="0" applyNumberFormat="1" applyFont="1" applyBorder="1" applyAlignment="1" applyProtection="1">
      <alignment horizontal="center" vertical="center"/>
    </xf>
    <xf numFmtId="165" fontId="4" fillId="0" borderId="8" xfId="0" applyNumberFormat="1" applyFont="1" applyBorder="1" applyAlignment="1" applyProtection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" fontId="4" fillId="0" borderId="6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1" fontId="0" fillId="0" borderId="4" xfId="0" applyNumberFormat="1" applyBorder="1" applyProtection="1"/>
    <xf numFmtId="1" fontId="0" fillId="0" borderId="5" xfId="0" applyNumberFormat="1" applyBorder="1" applyProtection="1"/>
    <xf numFmtId="1" fontId="4" fillId="0" borderId="5" xfId="0" applyNumberFormat="1" applyFont="1" applyBorder="1" applyAlignment="1" applyProtection="1">
      <alignment horizontal="center" vertical="center"/>
    </xf>
    <xf numFmtId="1" fontId="4" fillId="0" borderId="4" xfId="0" applyNumberFormat="1" applyFont="1" applyBorder="1" applyAlignment="1" applyProtection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</xf>
    <xf numFmtId="0" fontId="1" fillId="0" borderId="24" xfId="0" applyFont="1" applyBorder="1" applyProtection="1"/>
    <xf numFmtId="49" fontId="1" fillId="0" borderId="24" xfId="0" applyNumberFormat="1" applyFont="1" applyBorder="1" applyProtection="1">
      <protection locked="0"/>
    </xf>
    <xf numFmtId="49" fontId="0" fillId="0" borderId="25" xfId="0" applyNumberFormat="1" applyBorder="1" applyProtection="1">
      <protection locked="0"/>
    </xf>
    <xf numFmtId="49" fontId="0" fillId="0" borderId="0" xfId="0" applyNumberFormat="1" applyProtection="1"/>
    <xf numFmtId="0" fontId="1" fillId="0" borderId="0" xfId="0" applyFont="1" applyProtection="1"/>
    <xf numFmtId="0" fontId="11" fillId="0" borderId="0" xfId="0" applyFont="1" applyProtection="1"/>
    <xf numFmtId="0" fontId="11" fillId="0" borderId="22" xfId="0" applyFont="1" applyBorder="1" applyProtection="1"/>
    <xf numFmtId="0" fontId="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4" fillId="0" borderId="27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0" fillId="0" borderId="21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0" xfId="0" applyFont="1" applyProtection="1"/>
  </cellXfs>
  <cellStyles count="1">
    <cellStyle name="Standard" xfId="0" builtinId="0"/>
  </cellStyles>
  <dxfs count="10">
    <dxf>
      <fill>
        <patternFill>
          <bgColor theme="2"/>
        </patternFill>
      </fill>
    </dxf>
    <dxf>
      <font>
        <strike/>
        <color auto="1"/>
      </font>
      <fill>
        <patternFill patternType="none">
          <bgColor auto="1"/>
        </patternFill>
      </fill>
    </dxf>
    <dxf>
      <font>
        <strike/>
        <color auto="1"/>
      </font>
      <fill>
        <patternFill patternType="none">
          <bgColor auto="1"/>
        </patternFill>
      </fill>
    </dxf>
    <dxf>
      <font>
        <strike/>
        <color auto="1"/>
      </font>
      <fill>
        <patternFill patternType="none">
          <bgColor auto="1"/>
        </patternFill>
      </fill>
    </dxf>
    <dxf>
      <font>
        <strike/>
        <color auto="1"/>
      </font>
      <fill>
        <patternFill patternType="none">
          <bgColor auto="1"/>
        </patternFill>
      </fill>
    </dxf>
    <dxf>
      <font>
        <strike/>
        <color auto="1"/>
      </font>
      <fill>
        <patternFill patternType="none">
          <bgColor auto="1"/>
        </patternFill>
      </fill>
    </dxf>
    <dxf>
      <font>
        <strike/>
        <color auto="1"/>
      </font>
      <fill>
        <patternFill patternType="none">
          <bgColor auto="1"/>
        </patternFill>
      </fill>
    </dxf>
    <dxf>
      <font>
        <strike/>
        <color auto="1"/>
      </font>
      <fill>
        <patternFill patternType="none">
          <fgColor auto="1"/>
          <bgColor auto="1"/>
        </patternFill>
      </fill>
    </dxf>
    <dxf>
      <font>
        <strike/>
        <color auto="1"/>
      </font>
      <fill>
        <patternFill patternType="none">
          <bgColor auto="1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133350</xdr:rowOff>
    </xdr:from>
    <xdr:to>
      <xdr:col>0</xdr:col>
      <xdr:colOff>723900</xdr:colOff>
      <xdr:row>4</xdr:row>
      <xdr:rowOff>161925</xdr:rowOff>
    </xdr:to>
    <xdr:pic>
      <xdr:nvPicPr>
        <xdr:cNvPr id="8" name="Picture 22" descr="kvs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7143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egeln\dkb120wurf800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  <sheetName val="Ersatz"/>
      <sheetName val="Aufstellung"/>
      <sheetName val="Beamer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  <sheetData sheetId="7" refreshError="1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109F3-57AA-4F94-BAC2-2A8ED22C6DAD}">
  <dimension ref="A3:BG29"/>
  <sheetViews>
    <sheetView tabSelected="1" zoomScaleNormal="100" workbookViewId="0">
      <selection activeCell="BC12" sqref="BC12"/>
    </sheetView>
  </sheetViews>
  <sheetFormatPr baseColWidth="10" defaultRowHeight="15" x14ac:dyDescent="0.25"/>
  <cols>
    <col min="1" max="1" width="11.42578125" style="7"/>
    <col min="2" max="2" width="9.7109375" style="7" customWidth="1"/>
    <col min="3" max="3" width="1.85546875" style="7" customWidth="1"/>
    <col min="4" max="4" width="1" style="7" customWidth="1"/>
    <col min="5" max="5" width="1.85546875" style="7" customWidth="1"/>
    <col min="6" max="6" width="1" style="7" customWidth="1"/>
    <col min="7" max="7" width="3.42578125" style="7" customWidth="1"/>
    <col min="8" max="8" width="1.85546875" style="7" customWidth="1"/>
    <col min="9" max="9" width="10.85546875" style="7" customWidth="1"/>
    <col min="10" max="10" width="1.85546875" style="7" customWidth="1"/>
    <col min="11" max="11" width="1" style="7" customWidth="1"/>
    <col min="12" max="12" width="1.85546875" style="7" customWidth="1"/>
    <col min="13" max="13" width="2.140625" style="7" customWidth="1"/>
    <col min="14" max="14" width="1.42578125" style="7" customWidth="1"/>
    <col min="15" max="15" width="5.42578125" style="7" customWidth="1"/>
    <col min="16" max="16" width="3" style="7" customWidth="1"/>
    <col min="17" max="17" width="1.85546875" style="7" customWidth="1"/>
    <col min="18" max="18" width="1" style="7" customWidth="1"/>
    <col min="19" max="19" width="1.85546875" style="7" customWidth="1"/>
    <col min="20" max="20" width="1" style="7" customWidth="1"/>
    <col min="21" max="21" width="4" style="7" customWidth="1"/>
    <col min="22" max="22" width="1.85546875" style="7" customWidth="1"/>
    <col min="23" max="23" width="6.7109375" style="7" customWidth="1"/>
    <col min="24" max="24" width="1.85546875" style="7" customWidth="1"/>
    <col min="25" max="25" width="1" style="7" customWidth="1"/>
    <col min="26" max="26" width="1.85546875" style="7" customWidth="1"/>
    <col min="27" max="27" width="1" style="7" customWidth="1"/>
    <col min="28" max="28" width="3.42578125" style="7" customWidth="1"/>
    <col min="29" max="29" width="7.28515625" style="7" customWidth="1"/>
    <col min="30" max="30" width="3.28515625" style="7" customWidth="1"/>
    <col min="31" max="31" width="1.85546875" style="7" customWidth="1"/>
    <col min="32" max="32" width="1" style="7" customWidth="1"/>
    <col min="33" max="33" width="1.85546875" style="7" customWidth="1"/>
    <col min="34" max="34" width="1" style="7" customWidth="1"/>
    <col min="35" max="35" width="3.42578125" style="7" customWidth="1"/>
    <col min="36" max="36" width="6.85546875" style="7" customWidth="1"/>
    <col min="37" max="37" width="1.28515625" style="7" customWidth="1"/>
    <col min="38" max="38" width="1.85546875" style="7" customWidth="1"/>
    <col min="39" max="39" width="1" style="7" customWidth="1"/>
    <col min="40" max="40" width="1.85546875" style="7" customWidth="1"/>
    <col min="41" max="41" width="1.42578125" style="7" customWidth="1"/>
    <col min="42" max="42" width="1" style="7" customWidth="1"/>
    <col min="43" max="43" width="1.42578125" style="7" customWidth="1"/>
    <col min="44" max="44" width="1.7109375" style="7" customWidth="1"/>
    <col min="45" max="45" width="2.85546875" style="7" customWidth="1"/>
    <col min="46" max="46" width="4.7109375" style="7" customWidth="1"/>
    <col min="47" max="47" width="2.140625" style="7" customWidth="1"/>
    <col min="48" max="48" width="1" style="7" customWidth="1"/>
    <col min="49" max="49" width="1.85546875" style="7" customWidth="1"/>
    <col min="50" max="50" width="1" style="7" customWidth="1"/>
    <col min="51" max="51" width="1.85546875" style="7" customWidth="1"/>
    <col min="52" max="52" width="0.5703125" style="7" customWidth="1"/>
    <col min="53" max="53" width="1.5703125" style="7" customWidth="1"/>
    <col min="54" max="65" width="11.42578125" style="7" customWidth="1"/>
    <col min="66" max="16384" width="11.42578125" style="7"/>
  </cols>
  <sheetData>
    <row r="3" spans="1:59" ht="27.75" x14ac:dyDescent="0.4">
      <c r="A3" s="6"/>
      <c r="B3" s="54" t="s"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6"/>
      <c r="X3" s="6"/>
      <c r="Y3" s="6"/>
      <c r="Z3" s="6"/>
      <c r="AA3" s="6"/>
      <c r="AB3" s="6"/>
      <c r="AC3" s="6"/>
      <c r="AD3" s="6"/>
      <c r="AE3" s="54" t="s">
        <v>0</v>
      </c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6"/>
      <c r="AS3" s="6"/>
      <c r="AT3" s="6"/>
      <c r="AU3" s="6"/>
      <c r="AV3" s="6"/>
      <c r="AW3" s="6"/>
      <c r="AX3" s="6"/>
      <c r="AY3" s="6"/>
      <c r="AZ3" s="6"/>
    </row>
    <row r="6" spans="1:59" ht="15.75" x14ac:dyDescent="0.25">
      <c r="A6" s="8"/>
      <c r="B6" s="55" t="s">
        <v>3</v>
      </c>
      <c r="C6" s="55"/>
      <c r="D6" s="55"/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9"/>
      <c r="W6" s="57" t="s">
        <v>4</v>
      </c>
      <c r="X6" s="57"/>
      <c r="Y6" s="57"/>
      <c r="Z6" s="57"/>
      <c r="AA6" s="57"/>
      <c r="AB6" s="57"/>
      <c r="AC6" s="56"/>
      <c r="AD6" s="56"/>
      <c r="AE6" s="56"/>
      <c r="AF6" s="56"/>
      <c r="AG6" s="56"/>
      <c r="AH6" s="56"/>
      <c r="AI6" s="56"/>
      <c r="AJ6" s="56"/>
      <c r="AK6" s="9"/>
      <c r="AL6" s="9"/>
      <c r="AM6" s="55" t="s">
        <v>1</v>
      </c>
      <c r="AN6" s="55"/>
      <c r="AO6" s="55"/>
      <c r="AP6" s="55"/>
      <c r="AQ6" s="55"/>
      <c r="AR6" s="55"/>
      <c r="AS6" s="63"/>
      <c r="AT6" s="63"/>
      <c r="AU6" s="63"/>
      <c r="AV6" s="63"/>
      <c r="AW6" s="63"/>
      <c r="AX6" s="63"/>
      <c r="AY6" s="63"/>
      <c r="AZ6" s="8"/>
    </row>
    <row r="9" spans="1:59" ht="18.75" thickBot="1" x14ac:dyDescent="0.3">
      <c r="A9" s="64" t="s">
        <v>5</v>
      </c>
      <c r="B9" s="64"/>
      <c r="C9" s="64"/>
      <c r="D9" s="64"/>
      <c r="E9" s="64"/>
      <c r="F9" s="64"/>
      <c r="G9" s="64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10"/>
      <c r="W9" s="66" t="s">
        <v>6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10"/>
    </row>
    <row r="10" spans="1:59" ht="15.75" thickBot="1" x14ac:dyDescent="0.3">
      <c r="AL10" s="11"/>
    </row>
    <row r="11" spans="1:59" ht="15.75" thickBot="1" x14ac:dyDescent="0.3">
      <c r="A11" s="68" t="s">
        <v>7</v>
      </c>
      <c r="B11" s="69"/>
      <c r="C11" s="70"/>
      <c r="D11" s="58" t="s">
        <v>8</v>
      </c>
      <c r="E11" s="59"/>
      <c r="F11" s="59"/>
      <c r="G11" s="59"/>
      <c r="H11" s="62"/>
      <c r="I11" s="12" t="s">
        <v>9</v>
      </c>
      <c r="J11" s="61" t="s">
        <v>10</v>
      </c>
      <c r="K11" s="59"/>
      <c r="L11" s="59"/>
      <c r="M11" s="62"/>
      <c r="N11" s="58" t="s">
        <v>11</v>
      </c>
      <c r="O11" s="62"/>
      <c r="P11" s="58" t="s">
        <v>12</v>
      </c>
      <c r="Q11" s="62"/>
      <c r="R11" s="58" t="s">
        <v>13</v>
      </c>
      <c r="S11" s="59"/>
      <c r="T11" s="59"/>
      <c r="U11" s="60"/>
      <c r="V11" s="13"/>
      <c r="W11" s="68" t="s">
        <v>7</v>
      </c>
      <c r="X11" s="69"/>
      <c r="Y11" s="69"/>
      <c r="Z11" s="69"/>
      <c r="AA11" s="69"/>
      <c r="AB11" s="69"/>
      <c r="AC11" s="70"/>
      <c r="AD11" s="58" t="s">
        <v>8</v>
      </c>
      <c r="AE11" s="59"/>
      <c r="AF11" s="59"/>
      <c r="AG11" s="59"/>
      <c r="AH11" s="59"/>
      <c r="AI11" s="58" t="s">
        <v>9</v>
      </c>
      <c r="AJ11" s="60"/>
      <c r="AK11" s="61" t="s">
        <v>10</v>
      </c>
      <c r="AL11" s="59"/>
      <c r="AM11" s="59"/>
      <c r="AN11" s="59"/>
      <c r="AO11" s="62"/>
      <c r="AP11" s="58" t="s">
        <v>11</v>
      </c>
      <c r="AQ11" s="59"/>
      <c r="AR11" s="59"/>
      <c r="AS11" s="62"/>
      <c r="AT11" s="14" t="s">
        <v>12</v>
      </c>
      <c r="AU11" s="58" t="s">
        <v>13</v>
      </c>
      <c r="AV11" s="59"/>
      <c r="AW11" s="59"/>
      <c r="AX11" s="59"/>
      <c r="AY11" s="60"/>
      <c r="AZ11" s="15"/>
      <c r="BC11" s="53" t="s">
        <v>38</v>
      </c>
      <c r="BD11" s="53"/>
      <c r="BE11" s="53"/>
      <c r="BF11" s="53"/>
      <c r="BG11" s="128"/>
    </row>
    <row r="12" spans="1:59" x14ac:dyDescent="0.25">
      <c r="A12" s="84"/>
      <c r="B12" s="85"/>
      <c r="C12" s="86"/>
      <c r="D12" s="87"/>
      <c r="E12" s="88"/>
      <c r="F12" s="88"/>
      <c r="G12" s="88"/>
      <c r="H12" s="89"/>
      <c r="I12" s="3"/>
      <c r="J12" s="90" t="str">
        <f>IF(Ergebnisse!C10=0,"",Berechnung!A2)</f>
        <v/>
      </c>
      <c r="K12" s="71"/>
      <c r="L12" s="71"/>
      <c r="M12" s="71"/>
      <c r="N12" s="71" t="str">
        <f>IF(Ergebnisse!D10=0,"",Berechnung!B2)</f>
        <v/>
      </c>
      <c r="O12" s="71"/>
      <c r="P12" s="71" t="str">
        <f>IF(Ergebnisse!C6=0,"",Berechnung!C2)</f>
        <v/>
      </c>
      <c r="Q12" s="71"/>
      <c r="R12" s="71" t="str">
        <f>IF(Ergebnisse!F10=0,"",Berechnung!D2)</f>
        <v/>
      </c>
      <c r="S12" s="71"/>
      <c r="T12" s="71"/>
      <c r="U12" s="72"/>
      <c r="V12" s="16"/>
      <c r="W12" s="84"/>
      <c r="X12" s="85"/>
      <c r="Y12" s="85"/>
      <c r="Z12" s="85"/>
      <c r="AA12" s="85"/>
      <c r="AB12" s="85"/>
      <c r="AC12" s="86"/>
      <c r="AD12" s="87"/>
      <c r="AE12" s="88"/>
      <c r="AF12" s="88"/>
      <c r="AG12" s="88"/>
      <c r="AH12" s="88"/>
      <c r="AI12" s="91"/>
      <c r="AJ12" s="92"/>
      <c r="AK12" s="90" t="str">
        <f>IF(Ergebnisse!J10=0,"",Berechnung!A9)</f>
        <v/>
      </c>
      <c r="AL12" s="71"/>
      <c r="AM12" s="71"/>
      <c r="AN12" s="71"/>
      <c r="AO12" s="71"/>
      <c r="AP12" s="71" t="str">
        <f>IF(Ergebnisse!K10=0,"",Berechnung!B9)</f>
        <v/>
      </c>
      <c r="AQ12" s="71"/>
      <c r="AR12" s="71"/>
      <c r="AS12" s="71"/>
      <c r="AT12" s="40" t="str">
        <f>IF(Ergebnisse!J6=0,"",Berechnung!C9)</f>
        <v/>
      </c>
      <c r="AU12" s="71" t="str">
        <f>IF(Ergebnisse!M10=0,"",Berechnung!D9)</f>
        <v/>
      </c>
      <c r="AV12" s="71"/>
      <c r="AW12" s="71"/>
      <c r="AX12" s="71"/>
      <c r="AY12" s="72"/>
      <c r="AZ12" s="17"/>
      <c r="BC12" s="53">
        <f>Berechnung!W6</f>
        <v>1.4999999999999999E-4</v>
      </c>
      <c r="BD12" s="53">
        <f>Berechnung!X6</f>
        <v>2.5000000000000001E-4</v>
      </c>
      <c r="BE12" s="53">
        <f>Berechnung!Y6</f>
        <v>3.5E-4</v>
      </c>
      <c r="BF12" s="53">
        <f>Berechnung!Z6</f>
        <v>4.4999999999999999E-4</v>
      </c>
      <c r="BG12" s="128"/>
    </row>
    <row r="13" spans="1:59" x14ac:dyDescent="0.25">
      <c r="A13" s="73"/>
      <c r="B13" s="74"/>
      <c r="C13" s="75"/>
      <c r="D13" s="76"/>
      <c r="E13" s="77"/>
      <c r="F13" s="77"/>
      <c r="G13" s="77"/>
      <c r="H13" s="78"/>
      <c r="I13" s="4"/>
      <c r="J13" s="79" t="str">
        <f>IF(Ergebnisse!C17=0,"",Berechnung!A3)</f>
        <v/>
      </c>
      <c r="K13" s="80"/>
      <c r="L13" s="80"/>
      <c r="M13" s="80"/>
      <c r="N13" s="80" t="str">
        <f>IF(Ergebnisse!D17=0,"",Berechnung!B3)</f>
        <v/>
      </c>
      <c r="O13" s="80"/>
      <c r="P13" s="80" t="str">
        <f>IF(Ergebnisse!C13=0,"",Berechnung!C3)</f>
        <v/>
      </c>
      <c r="Q13" s="80"/>
      <c r="R13" s="80" t="str">
        <f>IF(Ergebnisse!F17=0,"",Berechnung!D3)</f>
        <v/>
      </c>
      <c r="S13" s="80"/>
      <c r="T13" s="80"/>
      <c r="U13" s="81"/>
      <c r="V13" s="16"/>
      <c r="W13" s="73"/>
      <c r="X13" s="74"/>
      <c r="Y13" s="74"/>
      <c r="Z13" s="74"/>
      <c r="AA13" s="74"/>
      <c r="AB13" s="74"/>
      <c r="AC13" s="75"/>
      <c r="AD13" s="76"/>
      <c r="AE13" s="77"/>
      <c r="AF13" s="77"/>
      <c r="AG13" s="77"/>
      <c r="AH13" s="77"/>
      <c r="AI13" s="82"/>
      <c r="AJ13" s="83"/>
      <c r="AK13" s="79" t="str">
        <f>IF(Ergebnisse!J17=0,"",Berechnung!A10)</f>
        <v/>
      </c>
      <c r="AL13" s="80"/>
      <c r="AM13" s="80"/>
      <c r="AN13" s="80"/>
      <c r="AO13" s="80"/>
      <c r="AP13" s="80" t="str">
        <f>IF(Ergebnisse!K17=0,"",Berechnung!B10)</f>
        <v/>
      </c>
      <c r="AQ13" s="80"/>
      <c r="AR13" s="80"/>
      <c r="AS13" s="80"/>
      <c r="AT13" s="41" t="str">
        <f>IF(Ergebnisse!J13=0,"",Berechnung!C10)</f>
        <v/>
      </c>
      <c r="AU13" s="80" t="str">
        <f>IF(Ergebnisse!M17=0,"",Berechnung!D10)</f>
        <v/>
      </c>
      <c r="AV13" s="80"/>
      <c r="AW13" s="80"/>
      <c r="AX13" s="80"/>
      <c r="AY13" s="81"/>
      <c r="AZ13" s="17"/>
      <c r="BC13" s="53"/>
      <c r="BD13" s="53"/>
      <c r="BE13" s="53"/>
      <c r="BF13" s="53"/>
      <c r="BG13" s="128"/>
    </row>
    <row r="14" spans="1:59" x14ac:dyDescent="0.25">
      <c r="A14" s="73"/>
      <c r="B14" s="74"/>
      <c r="C14" s="75"/>
      <c r="D14" s="76"/>
      <c r="E14" s="77"/>
      <c r="F14" s="77"/>
      <c r="G14" s="77"/>
      <c r="H14" s="78"/>
      <c r="I14" s="4"/>
      <c r="J14" s="79" t="str">
        <f>IF(Ergebnisse!C24=0,"",Berechnung!A4)</f>
        <v/>
      </c>
      <c r="K14" s="80"/>
      <c r="L14" s="80"/>
      <c r="M14" s="80"/>
      <c r="N14" s="80" t="str">
        <f>IF(Ergebnisse!D24=0,"",Berechnung!B4)</f>
        <v/>
      </c>
      <c r="O14" s="80"/>
      <c r="P14" s="80" t="str">
        <f>IF(Ergebnisse!C20=0,"",Berechnung!C4)</f>
        <v/>
      </c>
      <c r="Q14" s="80"/>
      <c r="R14" s="80" t="str">
        <f>IF(Ergebnisse!F24=0,"",Berechnung!D4)</f>
        <v/>
      </c>
      <c r="S14" s="80"/>
      <c r="T14" s="80"/>
      <c r="U14" s="81"/>
      <c r="V14" s="16"/>
      <c r="W14" s="73"/>
      <c r="X14" s="74"/>
      <c r="Y14" s="74"/>
      <c r="Z14" s="74"/>
      <c r="AA14" s="74"/>
      <c r="AB14" s="74"/>
      <c r="AC14" s="75"/>
      <c r="AD14" s="76"/>
      <c r="AE14" s="77"/>
      <c r="AF14" s="77"/>
      <c r="AG14" s="77"/>
      <c r="AH14" s="77"/>
      <c r="AI14" s="82"/>
      <c r="AJ14" s="83"/>
      <c r="AK14" s="79" t="str">
        <f>IF(Ergebnisse!J24=0,"",Berechnung!A11)</f>
        <v/>
      </c>
      <c r="AL14" s="80"/>
      <c r="AM14" s="80"/>
      <c r="AN14" s="80"/>
      <c r="AO14" s="80"/>
      <c r="AP14" s="80" t="str">
        <f>IF(Ergebnisse!K24=0,"",Berechnung!B11)</f>
        <v/>
      </c>
      <c r="AQ14" s="80"/>
      <c r="AR14" s="80"/>
      <c r="AS14" s="80"/>
      <c r="AT14" s="41" t="str">
        <f>IF(Ergebnisse!J20=0,"",Berechnung!C11)</f>
        <v/>
      </c>
      <c r="AU14" s="80" t="str">
        <f>IF(Ergebnisse!M24=0,"",Berechnung!D11)</f>
        <v/>
      </c>
      <c r="AV14" s="80"/>
      <c r="AW14" s="80"/>
      <c r="AX14" s="80"/>
      <c r="AY14" s="81"/>
      <c r="AZ14" s="17"/>
      <c r="BC14" s="53" t="s">
        <v>39</v>
      </c>
      <c r="BD14" s="53"/>
      <c r="BE14" s="53"/>
      <c r="BF14" s="53"/>
      <c r="BG14" s="128"/>
    </row>
    <row r="15" spans="1:59" x14ac:dyDescent="0.25">
      <c r="A15" s="73"/>
      <c r="B15" s="74"/>
      <c r="C15" s="75"/>
      <c r="D15" s="76"/>
      <c r="E15" s="77"/>
      <c r="F15" s="77"/>
      <c r="G15" s="77"/>
      <c r="H15" s="78"/>
      <c r="I15" s="4"/>
      <c r="J15" s="79" t="str">
        <f>IF(Ergebnisse!C31=0,"",Berechnung!A5)</f>
        <v/>
      </c>
      <c r="K15" s="80"/>
      <c r="L15" s="80"/>
      <c r="M15" s="80"/>
      <c r="N15" s="80" t="str">
        <f>IF(Ergebnisse!D31=0,"",Berechnung!B5)</f>
        <v/>
      </c>
      <c r="O15" s="80"/>
      <c r="P15" s="80" t="str">
        <f>IF(Ergebnisse!C27=0,"",Berechnung!C5)</f>
        <v/>
      </c>
      <c r="Q15" s="80"/>
      <c r="R15" s="80" t="str">
        <f>IF(Ergebnisse!F31=0,"",Berechnung!D5)</f>
        <v/>
      </c>
      <c r="S15" s="80"/>
      <c r="T15" s="80"/>
      <c r="U15" s="81"/>
      <c r="V15" s="16"/>
      <c r="W15" s="73"/>
      <c r="X15" s="74"/>
      <c r="Y15" s="74"/>
      <c r="Z15" s="74"/>
      <c r="AA15" s="74"/>
      <c r="AB15" s="74"/>
      <c r="AC15" s="75"/>
      <c r="AD15" s="76"/>
      <c r="AE15" s="77"/>
      <c r="AF15" s="77"/>
      <c r="AG15" s="77"/>
      <c r="AH15" s="77"/>
      <c r="AI15" s="82"/>
      <c r="AJ15" s="83"/>
      <c r="AK15" s="79" t="str">
        <f>IF(Ergebnisse!J31=0,"",Berechnung!A12)</f>
        <v/>
      </c>
      <c r="AL15" s="80"/>
      <c r="AM15" s="80"/>
      <c r="AN15" s="80"/>
      <c r="AO15" s="80"/>
      <c r="AP15" s="80" t="str">
        <f>IF(Ergebnisse!K31=0,"",Berechnung!B12)</f>
        <v/>
      </c>
      <c r="AQ15" s="80"/>
      <c r="AR15" s="80"/>
      <c r="AS15" s="80"/>
      <c r="AT15" s="41" t="str">
        <f>IF(Ergebnisse!J27=0,"",Berechnung!C12)</f>
        <v/>
      </c>
      <c r="AU15" s="80" t="str">
        <f>IF(Ergebnisse!M31=0,"",Berechnung!D12)</f>
        <v/>
      </c>
      <c r="AV15" s="80"/>
      <c r="AW15" s="80"/>
      <c r="AX15" s="80"/>
      <c r="AY15" s="81"/>
      <c r="AZ15" s="17"/>
      <c r="BC15" s="53">
        <f>Berechnung!W13</f>
        <v>1.4999999999999999E-4</v>
      </c>
      <c r="BD15" s="53">
        <f>Berechnung!X13</f>
        <v>2.5000000000000001E-4</v>
      </c>
      <c r="BE15" s="53">
        <f>Berechnung!Y13</f>
        <v>3.5E-4</v>
      </c>
      <c r="BF15" s="53">
        <f>Berechnung!Z13</f>
        <v>4.4999999999999999E-4</v>
      </c>
      <c r="BG15" s="128"/>
    </row>
    <row r="16" spans="1:59" ht="15.75" thickBot="1" x14ac:dyDescent="0.3">
      <c r="A16" s="73"/>
      <c r="B16" s="74"/>
      <c r="C16" s="75"/>
      <c r="D16" s="76"/>
      <c r="E16" s="77"/>
      <c r="F16" s="77"/>
      <c r="G16" s="77"/>
      <c r="H16" s="78"/>
      <c r="I16" s="4"/>
      <c r="J16" s="93" t="str">
        <f>IF(Ergebnisse!C38=0,"",Berechnung!A6)</f>
        <v/>
      </c>
      <c r="K16" s="94"/>
      <c r="L16" s="94"/>
      <c r="M16" s="94"/>
      <c r="N16" s="94" t="str">
        <f>IF(Ergebnisse!D38=0,"",Berechnung!B6)</f>
        <v/>
      </c>
      <c r="O16" s="94"/>
      <c r="P16" s="94" t="str">
        <f>IF(Ergebnisse!C34=0,"",Berechnung!C6)</f>
        <v/>
      </c>
      <c r="Q16" s="94"/>
      <c r="R16" s="94" t="str">
        <f>IF(Ergebnisse!F38=0,"",Berechnung!D6)</f>
        <v/>
      </c>
      <c r="S16" s="94"/>
      <c r="T16" s="94"/>
      <c r="U16" s="95"/>
      <c r="V16" s="16"/>
      <c r="W16" s="73"/>
      <c r="X16" s="74"/>
      <c r="Y16" s="74"/>
      <c r="Z16" s="74"/>
      <c r="AA16" s="74"/>
      <c r="AB16" s="74"/>
      <c r="AC16" s="75"/>
      <c r="AD16" s="76"/>
      <c r="AE16" s="77"/>
      <c r="AF16" s="77"/>
      <c r="AG16" s="77"/>
      <c r="AH16" s="77"/>
      <c r="AI16" s="82"/>
      <c r="AJ16" s="83"/>
      <c r="AK16" s="93" t="str">
        <f>IF(Ergebnisse!J38=0,"",Berechnung!A13)</f>
        <v/>
      </c>
      <c r="AL16" s="94"/>
      <c r="AM16" s="94"/>
      <c r="AN16" s="94"/>
      <c r="AO16" s="94"/>
      <c r="AP16" s="94" t="str">
        <f>IF(Ergebnisse!K38=0,"",Berechnung!B13)</f>
        <v/>
      </c>
      <c r="AQ16" s="94"/>
      <c r="AR16" s="94"/>
      <c r="AS16" s="94"/>
      <c r="AT16" s="52" t="str">
        <f>IF(Ergebnisse!J34=0,"",Berechnung!C13)</f>
        <v/>
      </c>
      <c r="AU16" s="94" t="str">
        <f>IF(Ergebnisse!M38=0,"",Berechnung!D13)</f>
        <v/>
      </c>
      <c r="AV16" s="94"/>
      <c r="AW16" s="94"/>
      <c r="AX16" s="94"/>
      <c r="AY16" s="95"/>
      <c r="AZ16" s="17"/>
    </row>
    <row r="17" spans="1:52" ht="15.75" thickBot="1" x14ac:dyDescent="0.3">
      <c r="A17" s="96" t="s">
        <v>14</v>
      </c>
      <c r="B17" s="97"/>
      <c r="C17" s="97"/>
      <c r="D17" s="97"/>
      <c r="E17" s="97"/>
      <c r="F17" s="97"/>
      <c r="G17" s="97"/>
      <c r="H17" s="97"/>
      <c r="I17" s="18" t="str">
        <f>IF(OR(R17=0,AU17=0),"0",IF(R17-AU17=0,"0",(R17-AU17)))</f>
        <v>0</v>
      </c>
      <c r="J17" s="100">
        <f>SUM(J12:J16)-Berechnung!W6</f>
        <v>-1.4999999999999999E-4</v>
      </c>
      <c r="K17" s="107"/>
      <c r="L17" s="107"/>
      <c r="M17" s="108"/>
      <c r="N17" s="103">
        <f>SUM(N12:N16)-Berechnung!X6</f>
        <v>-2.5000000000000001E-4</v>
      </c>
      <c r="O17" s="109"/>
      <c r="P17" s="103">
        <f>SUM(P12:P16)-Berechnung!Y6</f>
        <v>-3.5E-4</v>
      </c>
      <c r="Q17" s="109"/>
      <c r="R17" s="103">
        <f>SUM(R12:R16)-Berechnung!Z6</f>
        <v>-4.4999999999999999E-4</v>
      </c>
      <c r="S17" s="110"/>
      <c r="T17" s="110"/>
      <c r="U17" s="111"/>
      <c r="V17" s="19"/>
      <c r="W17" s="96" t="s">
        <v>14</v>
      </c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 t="str">
        <f>IF(OR(R17=0,AU17=0),"0",IF(AU17-R17=0,"0",(AU17-R17)))</f>
        <v>0</v>
      </c>
      <c r="AJ17" s="99"/>
      <c r="AK17" s="100">
        <f>SUM(AK12:AK16)-Berechnung!W13</f>
        <v>-1.4999999999999999E-4</v>
      </c>
      <c r="AL17" s="101"/>
      <c r="AM17" s="101"/>
      <c r="AN17" s="101"/>
      <c r="AO17" s="102"/>
      <c r="AP17" s="103">
        <f>SUM(AP12:AP16)-Berechnung!X13</f>
        <v>-2.5000000000000001E-4</v>
      </c>
      <c r="AQ17" s="101"/>
      <c r="AR17" s="101"/>
      <c r="AS17" s="102"/>
      <c r="AT17" s="42">
        <f>SUM(AT12:AT16)-Berechnung!Y13</f>
        <v>-3.5E-4</v>
      </c>
      <c r="AU17" s="103">
        <f>SUM(AU12:AU16)-Berechnung!Z13</f>
        <v>-4.4999999999999999E-4</v>
      </c>
      <c r="AV17" s="101"/>
      <c r="AW17" s="101"/>
      <c r="AX17" s="101"/>
      <c r="AY17" s="104"/>
      <c r="AZ17" s="17"/>
    </row>
    <row r="20" spans="1:52" x14ac:dyDescent="0.25">
      <c r="A20" s="20"/>
      <c r="B20" s="20"/>
      <c r="C20" s="21" t="s">
        <v>15</v>
      </c>
      <c r="D20" s="105" t="s">
        <v>16</v>
      </c>
      <c r="E20" s="105"/>
      <c r="F20" s="105"/>
      <c r="G20" s="21"/>
      <c r="H20" s="20"/>
      <c r="I20" s="20"/>
      <c r="J20" s="21" t="s">
        <v>15</v>
      </c>
      <c r="K20" s="106" t="s">
        <v>17</v>
      </c>
      <c r="L20" s="106"/>
      <c r="M20" s="106"/>
      <c r="N20" s="20"/>
      <c r="O20" s="20"/>
      <c r="P20" s="20"/>
      <c r="Q20" s="21" t="s">
        <v>15</v>
      </c>
      <c r="R20" s="105" t="s">
        <v>16</v>
      </c>
      <c r="S20" s="105"/>
      <c r="T20" s="105"/>
      <c r="U20" s="20"/>
      <c r="V20" s="20"/>
      <c r="W20" s="20"/>
      <c r="X20" s="21" t="s">
        <v>15</v>
      </c>
      <c r="Y20" s="105" t="s">
        <v>16</v>
      </c>
      <c r="Z20" s="105"/>
      <c r="AA20" s="105"/>
      <c r="AB20" s="20"/>
      <c r="AC20" s="20"/>
      <c r="AD20" s="20"/>
      <c r="AE20" s="21" t="s">
        <v>15</v>
      </c>
      <c r="AF20" s="105" t="s">
        <v>16</v>
      </c>
      <c r="AG20" s="105"/>
      <c r="AH20" s="105"/>
      <c r="AI20" s="20"/>
      <c r="AJ20" s="20"/>
      <c r="AK20" s="20"/>
      <c r="AL20" s="21" t="s">
        <v>15</v>
      </c>
      <c r="AM20" s="106" t="s">
        <v>17</v>
      </c>
      <c r="AN20" s="106"/>
      <c r="AO20" s="106"/>
      <c r="AP20" s="106"/>
      <c r="AQ20" s="21"/>
      <c r="AR20" s="20"/>
      <c r="AS20" s="20"/>
      <c r="AT20" s="20"/>
      <c r="AU20" s="20"/>
      <c r="AV20" s="21"/>
      <c r="AW20" s="21" t="s">
        <v>15</v>
      </c>
      <c r="AX20" s="105" t="s">
        <v>16</v>
      </c>
      <c r="AY20" s="105"/>
      <c r="AZ20" s="105"/>
    </row>
    <row r="21" spans="1:52" x14ac:dyDescent="0.25">
      <c r="A21" s="117" t="s">
        <v>18</v>
      </c>
      <c r="B21" s="118"/>
      <c r="C21" s="23"/>
      <c r="D21" s="20"/>
      <c r="E21" s="23"/>
      <c r="F21" s="20"/>
      <c r="G21" s="20"/>
      <c r="H21" s="117" t="s">
        <v>19</v>
      </c>
      <c r="I21" s="117"/>
      <c r="J21" s="23"/>
      <c r="K21" s="20"/>
      <c r="L21" s="23"/>
      <c r="M21" s="20"/>
      <c r="N21" s="20"/>
      <c r="O21" s="117" t="s">
        <v>20</v>
      </c>
      <c r="P21" s="118"/>
      <c r="Q21" s="23"/>
      <c r="R21" s="20"/>
      <c r="S21" s="23"/>
      <c r="T21" s="20"/>
      <c r="U21" s="20"/>
      <c r="V21" s="117" t="s">
        <v>21</v>
      </c>
      <c r="W21" s="118"/>
      <c r="X21" s="23"/>
      <c r="Y21" s="20"/>
      <c r="Z21" s="23"/>
      <c r="AA21" s="20"/>
      <c r="AB21" s="20"/>
      <c r="AC21" s="117" t="s">
        <v>22</v>
      </c>
      <c r="AD21" s="118"/>
      <c r="AE21" s="23"/>
      <c r="AF21" s="20"/>
      <c r="AG21" s="23"/>
      <c r="AH21" s="20"/>
      <c r="AI21" s="25" t="s">
        <v>23</v>
      </c>
      <c r="AJ21" s="26"/>
      <c r="AL21" s="23"/>
      <c r="AM21" s="22"/>
      <c r="AN21" s="23"/>
      <c r="AO21" s="22"/>
      <c r="AP21" s="20"/>
      <c r="AQ21" s="20"/>
      <c r="AR21" s="20"/>
      <c r="AS21" s="117" t="s">
        <v>24</v>
      </c>
      <c r="AT21" s="117"/>
      <c r="AU21" s="117"/>
      <c r="AV21" s="22"/>
      <c r="AW21" s="24"/>
      <c r="AX21" s="22"/>
      <c r="AY21" s="23"/>
      <c r="AZ21" s="20"/>
    </row>
    <row r="24" spans="1:52" x14ac:dyDescent="0.25">
      <c r="A24" s="112" t="s">
        <v>25</v>
      </c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</row>
    <row r="25" spans="1:52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</row>
    <row r="26" spans="1:52" x14ac:dyDescent="0.2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</row>
    <row r="27" spans="1:52" x14ac:dyDescent="0.2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</row>
    <row r="28" spans="1:52" x14ac:dyDescent="0.25">
      <c r="A28" s="116" t="s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</row>
    <row r="29" spans="1:52" x14ac:dyDescent="0.25">
      <c r="A29" s="112" t="s">
        <v>27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 t="s">
        <v>28</v>
      </c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</row>
  </sheetData>
  <sheetProtection sheet="1" objects="1" scenarios="1"/>
  <mergeCells count="115">
    <mergeCell ref="A29:V29"/>
    <mergeCell ref="W29:AZ29"/>
    <mergeCell ref="A24:B24"/>
    <mergeCell ref="C24:AZ24"/>
    <mergeCell ref="A25:AZ25"/>
    <mergeCell ref="A26:AZ26"/>
    <mergeCell ref="A27:AZ27"/>
    <mergeCell ref="A28:AZ28"/>
    <mergeCell ref="AM20:AP20"/>
    <mergeCell ref="AX20:AZ20"/>
    <mergeCell ref="A21:B21"/>
    <mergeCell ref="H21:I21"/>
    <mergeCell ref="O21:P21"/>
    <mergeCell ref="V21:W21"/>
    <mergeCell ref="AC21:AD21"/>
    <mergeCell ref="AS21:AU21"/>
    <mergeCell ref="W17:AH17"/>
    <mergeCell ref="AI17:AJ17"/>
    <mergeCell ref="AK17:AO17"/>
    <mergeCell ref="AP17:AS17"/>
    <mergeCell ref="AU17:AY17"/>
    <mergeCell ref="D20:F20"/>
    <mergeCell ref="K20:M20"/>
    <mergeCell ref="R20:T20"/>
    <mergeCell ref="Y20:AA20"/>
    <mergeCell ref="AF20:AH20"/>
    <mergeCell ref="A17:H17"/>
    <mergeCell ref="J17:M17"/>
    <mergeCell ref="N17:O17"/>
    <mergeCell ref="P17:Q17"/>
    <mergeCell ref="R17:U17"/>
    <mergeCell ref="AD16:AH16"/>
    <mergeCell ref="AI16:AJ16"/>
    <mergeCell ref="AK16:AO16"/>
    <mergeCell ref="AP16:AS16"/>
    <mergeCell ref="AU16:AY16"/>
    <mergeCell ref="AK15:AO15"/>
    <mergeCell ref="AP15:AS15"/>
    <mergeCell ref="AU15:AY15"/>
    <mergeCell ref="A16:C16"/>
    <mergeCell ref="D16:H16"/>
    <mergeCell ref="J16:M16"/>
    <mergeCell ref="N16:O16"/>
    <mergeCell ref="P16:Q16"/>
    <mergeCell ref="R16:U16"/>
    <mergeCell ref="W16:AC16"/>
    <mergeCell ref="A14:C14"/>
    <mergeCell ref="D14:H14"/>
    <mergeCell ref="J14:M14"/>
    <mergeCell ref="N14:O14"/>
    <mergeCell ref="P14:Q14"/>
    <mergeCell ref="AU14:AY14"/>
    <mergeCell ref="A15:C15"/>
    <mergeCell ref="D15:H15"/>
    <mergeCell ref="J15:M15"/>
    <mergeCell ref="N15:O15"/>
    <mergeCell ref="P15:Q15"/>
    <mergeCell ref="R15:U15"/>
    <mergeCell ref="W15:AC15"/>
    <mergeCell ref="AD15:AH15"/>
    <mergeCell ref="AI15:AJ15"/>
    <mergeCell ref="R14:U14"/>
    <mergeCell ref="W14:AC14"/>
    <mergeCell ref="AD14:AH14"/>
    <mergeCell ref="AI14:AJ14"/>
    <mergeCell ref="AK14:AO14"/>
    <mergeCell ref="AP14:AS14"/>
    <mergeCell ref="AU12:AY12"/>
    <mergeCell ref="A13:C13"/>
    <mergeCell ref="D13:H13"/>
    <mergeCell ref="J13:M13"/>
    <mergeCell ref="N13:O13"/>
    <mergeCell ref="P13:Q13"/>
    <mergeCell ref="R13:U13"/>
    <mergeCell ref="W13:AC13"/>
    <mergeCell ref="AD13:AH13"/>
    <mergeCell ref="AI13:AJ13"/>
    <mergeCell ref="AK13:AO13"/>
    <mergeCell ref="AP13:AS13"/>
    <mergeCell ref="AU13:AY13"/>
    <mergeCell ref="A12:C12"/>
    <mergeCell ref="D12:H12"/>
    <mergeCell ref="J12:M12"/>
    <mergeCell ref="N12:O12"/>
    <mergeCell ref="P12:Q12"/>
    <mergeCell ref="R12:U12"/>
    <mergeCell ref="W12:AC12"/>
    <mergeCell ref="AD12:AH12"/>
    <mergeCell ref="AI12:AJ12"/>
    <mergeCell ref="AK12:AO12"/>
    <mergeCell ref="AP12:AS12"/>
    <mergeCell ref="B3:V3"/>
    <mergeCell ref="AE3:AQ3"/>
    <mergeCell ref="B6:H6"/>
    <mergeCell ref="I6:U6"/>
    <mergeCell ref="W6:AB6"/>
    <mergeCell ref="AC6:AJ6"/>
    <mergeCell ref="AM6:AR6"/>
    <mergeCell ref="AD11:AH11"/>
    <mergeCell ref="AI11:AJ11"/>
    <mergeCell ref="AK11:AO11"/>
    <mergeCell ref="AP11:AS11"/>
    <mergeCell ref="AS6:AY6"/>
    <mergeCell ref="A9:G9"/>
    <mergeCell ref="H9:U9"/>
    <mergeCell ref="W9:AG9"/>
    <mergeCell ref="AH9:AY9"/>
    <mergeCell ref="A11:C11"/>
    <mergeCell ref="D11:H11"/>
    <mergeCell ref="J11:M11"/>
    <mergeCell ref="N11:O11"/>
    <mergeCell ref="P11:Q11"/>
    <mergeCell ref="AU11:AY11"/>
    <mergeCell ref="R11:U11"/>
    <mergeCell ref="W11:AC11"/>
  </mergeCells>
  <conditionalFormatting sqref="A22:AZ29 AL21:AZ21 A21:AJ21 A1:BC20">
    <cfRule type="expression" dxfId="9" priority="16">
      <formula>CELL("Schutz",A1)=0</formula>
    </cfRule>
  </conditionalFormatting>
  <conditionalFormatting sqref="J12:J16">
    <cfRule type="cellIs" dxfId="8" priority="11" operator="equal">
      <formula>$BC$12</formula>
    </cfRule>
  </conditionalFormatting>
  <conditionalFormatting sqref="N12:N16">
    <cfRule type="cellIs" dxfId="7" priority="10" operator="equal">
      <formula>$BD$12</formula>
    </cfRule>
  </conditionalFormatting>
  <conditionalFormatting sqref="P12:P16">
    <cfRule type="cellIs" dxfId="6" priority="9" operator="equal">
      <formula>$BE$12</formula>
    </cfRule>
  </conditionalFormatting>
  <conditionalFormatting sqref="R12:U16">
    <cfRule type="cellIs" dxfId="5" priority="8" operator="equal">
      <formula>$BF$12</formula>
    </cfRule>
  </conditionalFormatting>
  <conditionalFormatting sqref="AK12:AO16">
    <cfRule type="cellIs" dxfId="4" priority="7" operator="equal">
      <formula>$BC$15</formula>
    </cfRule>
  </conditionalFormatting>
  <conditionalFormatting sqref="AP12:AS16">
    <cfRule type="cellIs" dxfId="3" priority="6" operator="equal">
      <formula>$BD$15</formula>
    </cfRule>
  </conditionalFormatting>
  <conditionalFormatting sqref="AT12:AT16">
    <cfRule type="cellIs" dxfId="2" priority="4" operator="equal">
      <formula>$BE$15</formula>
    </cfRule>
  </conditionalFormatting>
  <conditionalFormatting sqref="AU12:AY16">
    <cfRule type="cellIs" dxfId="1" priority="3" operator="equal">
      <formula>$BF$15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BC620-8CDC-4888-85E6-DEEC05125E1E}">
  <dimension ref="A1:M39"/>
  <sheetViews>
    <sheetView topLeftCell="A4" workbookViewId="0">
      <selection activeCell="L34" sqref="L34:M34"/>
    </sheetView>
  </sheetViews>
  <sheetFormatPr baseColWidth="10" defaultRowHeight="15" x14ac:dyDescent="0.25"/>
  <cols>
    <col min="1" max="1" width="22.7109375" style="7" customWidth="1"/>
    <col min="2" max="2" width="5.5703125" style="7" customWidth="1"/>
    <col min="3" max="3" width="6.85546875" style="7" customWidth="1"/>
    <col min="4" max="4" width="10.140625" style="7" customWidth="1"/>
    <col min="5" max="5" width="6.7109375" style="7" customWidth="1"/>
    <col min="6" max="6" width="8.140625" style="7" customWidth="1"/>
    <col min="7" max="7" width="5.140625" style="7" customWidth="1"/>
    <col min="8" max="8" width="22.5703125" style="7" customWidth="1"/>
    <col min="9" max="9" width="5.85546875" style="7" customWidth="1"/>
    <col min="10" max="10" width="6.42578125" style="7" customWidth="1"/>
    <col min="11" max="11" width="9.7109375" style="7" customWidth="1"/>
    <col min="12" max="12" width="6.28515625" style="7" customWidth="1"/>
    <col min="13" max="13" width="7.85546875" style="7" customWidth="1"/>
    <col min="14" max="16384" width="11.42578125" style="7"/>
  </cols>
  <sheetData>
    <row r="1" spans="1:13" x14ac:dyDescent="0.25">
      <c r="A1" s="29"/>
      <c r="B1" s="119"/>
      <c r="C1" s="119"/>
      <c r="D1" s="30"/>
      <c r="G1" s="31"/>
      <c r="H1" s="29"/>
      <c r="I1" s="119"/>
      <c r="J1" s="119"/>
      <c r="K1" s="30"/>
    </row>
    <row r="2" spans="1:13" x14ac:dyDescent="0.25">
      <c r="A2" s="29"/>
      <c r="B2" s="32"/>
      <c r="C2" s="32"/>
      <c r="D2" s="30"/>
      <c r="G2" s="31"/>
      <c r="H2" s="29"/>
      <c r="I2" s="32"/>
      <c r="J2" s="32"/>
      <c r="K2" s="30"/>
    </row>
    <row r="3" spans="1:13" ht="26.25" x14ac:dyDescent="0.4">
      <c r="A3" s="120" t="str">
        <f>IF(Spielbericht!H9=0,"Heimmannschaft",Spielbericht!H9)</f>
        <v>Heimmannschaft</v>
      </c>
      <c r="B3" s="120"/>
      <c r="C3" s="120"/>
      <c r="D3" s="120"/>
      <c r="E3" s="120"/>
      <c r="F3" s="120"/>
      <c r="G3" s="33"/>
      <c r="H3" s="121" t="str">
        <f>IF(Spielbericht!AH9=0,"Gastmannschaft",Spielbericht!AH9)</f>
        <v>Gastmannschaft</v>
      </c>
      <c r="I3" s="122"/>
      <c r="J3" s="122"/>
      <c r="K3" s="122"/>
      <c r="L3" s="122"/>
      <c r="M3" s="122"/>
    </row>
    <row r="4" spans="1:13" x14ac:dyDescent="0.25">
      <c r="G4" s="33"/>
      <c r="H4" s="34"/>
    </row>
    <row r="5" spans="1:13" x14ac:dyDescent="0.25">
      <c r="A5" s="7" t="s">
        <v>29</v>
      </c>
      <c r="B5" s="35" t="s">
        <v>30</v>
      </c>
      <c r="C5" s="35" t="s">
        <v>10</v>
      </c>
      <c r="D5" s="35" t="s">
        <v>31</v>
      </c>
      <c r="E5" s="35" t="s">
        <v>32</v>
      </c>
      <c r="F5" s="35" t="s">
        <v>13</v>
      </c>
      <c r="G5" s="31"/>
      <c r="H5" s="34" t="s">
        <v>29</v>
      </c>
      <c r="I5" s="35" t="s">
        <v>30</v>
      </c>
      <c r="J5" s="35" t="s">
        <v>10</v>
      </c>
      <c r="K5" s="35" t="s">
        <v>31</v>
      </c>
      <c r="L5" s="35" t="s">
        <v>32</v>
      </c>
      <c r="M5" s="35" t="s">
        <v>13</v>
      </c>
    </row>
    <row r="6" spans="1:13" x14ac:dyDescent="0.25">
      <c r="A6" s="36">
        <f>Spielbericht!A12</f>
        <v>0</v>
      </c>
      <c r="B6" s="37">
        <v>1</v>
      </c>
      <c r="C6" s="1"/>
      <c r="D6" s="39" t="str">
        <f>IF(F6&gt;0,SUM(F6-C6),"0")</f>
        <v>0</v>
      </c>
      <c r="E6" s="1"/>
      <c r="F6" s="1"/>
      <c r="G6" s="31"/>
      <c r="H6" s="36">
        <f>Spielbericht!W12</f>
        <v>0</v>
      </c>
      <c r="I6" s="37">
        <v>1</v>
      </c>
      <c r="J6" s="1"/>
      <c r="K6" s="39" t="str">
        <f>IF(M6&gt;0,SUM(M6-J6),"0")</f>
        <v>0</v>
      </c>
      <c r="L6" s="1"/>
      <c r="M6" s="1"/>
    </row>
    <row r="7" spans="1:13" x14ac:dyDescent="0.25">
      <c r="B7" s="37">
        <v>2</v>
      </c>
      <c r="C7" s="1"/>
      <c r="D7" s="39" t="str">
        <f>IF(F7&gt;0,SUM(F7-C7),"0")</f>
        <v>0</v>
      </c>
      <c r="E7" s="1"/>
      <c r="F7" s="1"/>
      <c r="G7" s="31"/>
      <c r="H7" s="34"/>
      <c r="I7" s="37">
        <v>2</v>
      </c>
      <c r="J7" s="1"/>
      <c r="K7" s="39" t="str">
        <f>IF(M7&gt;0,SUM(M7-J7),"0")</f>
        <v>0</v>
      </c>
      <c r="L7" s="1"/>
      <c r="M7" s="1"/>
    </row>
    <row r="8" spans="1:13" x14ac:dyDescent="0.25">
      <c r="B8" s="37">
        <v>3</v>
      </c>
      <c r="C8" s="1"/>
      <c r="D8" s="39" t="str">
        <f>IF(F8&gt;0,SUM(F8-C8),"0")</f>
        <v>0</v>
      </c>
      <c r="E8" s="1"/>
      <c r="F8" s="1"/>
      <c r="G8" s="31"/>
      <c r="H8" s="34"/>
      <c r="I8" s="37">
        <v>3</v>
      </c>
      <c r="J8" s="1"/>
      <c r="K8" s="39" t="str">
        <f>IF(M8&gt;0,SUM(M8-J8),"0")</f>
        <v>0</v>
      </c>
      <c r="L8" s="1"/>
      <c r="M8" s="1"/>
    </row>
    <row r="9" spans="1:13" x14ac:dyDescent="0.25">
      <c r="B9" s="37">
        <v>4</v>
      </c>
      <c r="C9" s="1"/>
      <c r="D9" s="39" t="str">
        <f>IF(F9&gt;0,SUM(F9-C9),"0")</f>
        <v>0</v>
      </c>
      <c r="E9" s="1"/>
      <c r="F9" s="1"/>
      <c r="G9" s="31"/>
      <c r="H9" s="34"/>
      <c r="I9" s="37">
        <v>4</v>
      </c>
      <c r="J9" s="1"/>
      <c r="K9" s="39" t="str">
        <f>IF(M9&gt;0,SUM(M9-J9),"0")</f>
        <v>0</v>
      </c>
      <c r="L9" s="1"/>
      <c r="M9" s="1"/>
    </row>
    <row r="10" spans="1:13" x14ac:dyDescent="0.25">
      <c r="C10" s="38">
        <f>SUM(C6:C9)</f>
        <v>0</v>
      </c>
      <c r="D10" s="38">
        <f>SUM(D6:D9)</f>
        <v>0</v>
      </c>
      <c r="E10" s="38">
        <f>SUM(E6:E9)</f>
        <v>0</v>
      </c>
      <c r="F10" s="38">
        <f>SUM(C6:D9)</f>
        <v>0</v>
      </c>
      <c r="G10" s="31"/>
      <c r="H10" s="34"/>
      <c r="J10" s="38">
        <f>SUM(J6:J9)</f>
        <v>0</v>
      </c>
      <c r="K10" s="38">
        <f>SUM(K6:K9)</f>
        <v>0</v>
      </c>
      <c r="L10" s="38">
        <f>SUM(L6:L9)</f>
        <v>0</v>
      </c>
      <c r="M10" s="38">
        <f>SUM(J6:K9)</f>
        <v>0</v>
      </c>
    </row>
    <row r="11" spans="1:13" x14ac:dyDescent="0.25">
      <c r="G11" s="31"/>
      <c r="H11" s="34"/>
    </row>
    <row r="12" spans="1:13" x14ac:dyDescent="0.25">
      <c r="A12" s="7" t="s">
        <v>29</v>
      </c>
      <c r="B12" s="35" t="s">
        <v>30</v>
      </c>
      <c r="C12" s="35" t="s">
        <v>10</v>
      </c>
      <c r="D12" s="35" t="s">
        <v>31</v>
      </c>
      <c r="E12" s="35" t="s">
        <v>32</v>
      </c>
      <c r="F12" s="35" t="s">
        <v>13</v>
      </c>
      <c r="G12" s="31"/>
      <c r="H12" s="34" t="s">
        <v>29</v>
      </c>
      <c r="I12" s="35" t="s">
        <v>30</v>
      </c>
      <c r="J12" s="35" t="s">
        <v>10</v>
      </c>
      <c r="K12" s="35" t="s">
        <v>31</v>
      </c>
      <c r="L12" s="35" t="s">
        <v>32</v>
      </c>
      <c r="M12" s="35" t="s">
        <v>13</v>
      </c>
    </row>
    <row r="13" spans="1:13" x14ac:dyDescent="0.25">
      <c r="A13" s="36">
        <f>Spielbericht!A13</f>
        <v>0</v>
      </c>
      <c r="B13" s="37">
        <v>1</v>
      </c>
      <c r="C13" s="1"/>
      <c r="D13" s="39" t="str">
        <f>IF(F13&gt;0,SUM(F13-C13),"0")</f>
        <v>0</v>
      </c>
      <c r="E13" s="1"/>
      <c r="F13" s="1"/>
      <c r="G13" s="31"/>
      <c r="H13" s="36">
        <f>Spielbericht!W13</f>
        <v>0</v>
      </c>
      <c r="I13" s="37">
        <v>1</v>
      </c>
      <c r="J13" s="1"/>
      <c r="K13" s="39" t="str">
        <f>IF(M13&gt;0,SUM(M13-J13),"0")</f>
        <v>0</v>
      </c>
      <c r="L13" s="1"/>
      <c r="M13" s="1"/>
    </row>
    <row r="14" spans="1:13" x14ac:dyDescent="0.25">
      <c r="B14" s="37">
        <v>2</v>
      </c>
      <c r="C14" s="1"/>
      <c r="D14" s="39" t="str">
        <f>IF(F14&gt;0,SUM(F14-C14),"0")</f>
        <v>0</v>
      </c>
      <c r="E14" s="1"/>
      <c r="F14" s="1"/>
      <c r="G14" s="31"/>
      <c r="H14" s="34"/>
      <c r="I14" s="37">
        <v>2</v>
      </c>
      <c r="J14" s="1"/>
      <c r="K14" s="39" t="str">
        <f>IF(M14&gt;0,SUM(M14-J14),"0")</f>
        <v>0</v>
      </c>
      <c r="L14" s="1"/>
      <c r="M14" s="1"/>
    </row>
    <row r="15" spans="1:13" x14ac:dyDescent="0.25">
      <c r="B15" s="37">
        <v>3</v>
      </c>
      <c r="C15" s="1"/>
      <c r="D15" s="39" t="str">
        <f>IF(F15&gt;0,SUM(F15-C15),"0")</f>
        <v>0</v>
      </c>
      <c r="E15" s="1"/>
      <c r="F15" s="1"/>
      <c r="G15" s="31"/>
      <c r="H15" s="34"/>
      <c r="I15" s="37">
        <v>3</v>
      </c>
      <c r="J15" s="1"/>
      <c r="K15" s="39" t="str">
        <f>IF(M15&gt;0,SUM(M15-J15),"0")</f>
        <v>0</v>
      </c>
      <c r="L15" s="1"/>
      <c r="M15" s="1"/>
    </row>
    <row r="16" spans="1:13" x14ac:dyDescent="0.25">
      <c r="B16" s="37">
        <v>4</v>
      </c>
      <c r="C16" s="1"/>
      <c r="D16" s="39" t="str">
        <f>IF(F16&gt;0,SUM(F16-C16),"0")</f>
        <v>0</v>
      </c>
      <c r="E16" s="1"/>
      <c r="F16" s="1"/>
      <c r="G16" s="31"/>
      <c r="H16" s="34"/>
      <c r="I16" s="37">
        <v>4</v>
      </c>
      <c r="J16" s="1"/>
      <c r="K16" s="39" t="str">
        <f>IF(M16&gt;0,SUM(M16-J16),"0")</f>
        <v>0</v>
      </c>
      <c r="L16" s="1"/>
      <c r="M16" s="1"/>
    </row>
    <row r="17" spans="1:13" x14ac:dyDescent="0.25">
      <c r="C17" s="38">
        <f>SUM(C13:C16)</f>
        <v>0</v>
      </c>
      <c r="D17" s="38">
        <f>SUM(D13:D16)</f>
        <v>0</v>
      </c>
      <c r="E17" s="38">
        <f>SUM(E13:E16)</f>
        <v>0</v>
      </c>
      <c r="F17" s="38">
        <f>SUM(C13:D16)</f>
        <v>0</v>
      </c>
      <c r="G17" s="31"/>
      <c r="H17" s="34"/>
      <c r="J17" s="38">
        <f>SUM(J13:J16)</f>
        <v>0</v>
      </c>
      <c r="K17" s="38">
        <f>SUM(K13:K16)</f>
        <v>0</v>
      </c>
      <c r="L17" s="38">
        <f>SUM(L13:L16)</f>
        <v>0</v>
      </c>
      <c r="M17" s="38">
        <f>SUM(J13:K16)</f>
        <v>0</v>
      </c>
    </row>
    <row r="18" spans="1:13" x14ac:dyDescent="0.25">
      <c r="G18" s="31"/>
      <c r="H18" s="34"/>
    </row>
    <row r="19" spans="1:13" x14ac:dyDescent="0.25">
      <c r="A19" s="7" t="s">
        <v>29</v>
      </c>
      <c r="B19" s="35" t="s">
        <v>30</v>
      </c>
      <c r="C19" s="35" t="s">
        <v>10</v>
      </c>
      <c r="D19" s="35" t="s">
        <v>31</v>
      </c>
      <c r="E19" s="35" t="s">
        <v>32</v>
      </c>
      <c r="F19" s="35" t="s">
        <v>13</v>
      </c>
      <c r="G19" s="31"/>
      <c r="H19" s="34" t="s">
        <v>29</v>
      </c>
      <c r="I19" s="35" t="s">
        <v>30</v>
      </c>
      <c r="J19" s="35" t="s">
        <v>10</v>
      </c>
      <c r="K19" s="35" t="s">
        <v>31</v>
      </c>
      <c r="L19" s="35" t="s">
        <v>32</v>
      </c>
      <c r="M19" s="35" t="s">
        <v>13</v>
      </c>
    </row>
    <row r="20" spans="1:13" x14ac:dyDescent="0.25">
      <c r="A20" s="36">
        <f>Spielbericht!A14</f>
        <v>0</v>
      </c>
      <c r="B20" s="37">
        <v>1</v>
      </c>
      <c r="C20" s="1"/>
      <c r="D20" s="39" t="str">
        <f>IF(F20&gt;0,SUM(F20-C20),"0")</f>
        <v>0</v>
      </c>
      <c r="E20" s="1"/>
      <c r="F20" s="1"/>
      <c r="G20" s="31"/>
      <c r="H20" s="36">
        <f>Spielbericht!W14</f>
        <v>0</v>
      </c>
      <c r="I20" s="37">
        <v>1</v>
      </c>
      <c r="J20" s="1"/>
      <c r="K20" s="39" t="str">
        <f>IF(M20&gt;0,SUM(M20-J20),"0")</f>
        <v>0</v>
      </c>
      <c r="L20" s="1"/>
      <c r="M20" s="1"/>
    </row>
    <row r="21" spans="1:13" x14ac:dyDescent="0.25">
      <c r="B21" s="37">
        <v>2</v>
      </c>
      <c r="C21" s="1"/>
      <c r="D21" s="39" t="str">
        <f>IF(F21&gt;0,SUM(F21-C21),"0")</f>
        <v>0</v>
      </c>
      <c r="E21" s="1"/>
      <c r="F21" s="1"/>
      <c r="G21" s="31"/>
      <c r="H21" s="34"/>
      <c r="I21" s="37">
        <v>2</v>
      </c>
      <c r="J21" s="1"/>
      <c r="K21" s="39" t="str">
        <f>IF(M21&gt;0,SUM(M21-J21),"0")</f>
        <v>0</v>
      </c>
      <c r="L21" s="1"/>
      <c r="M21" s="1"/>
    </row>
    <row r="22" spans="1:13" x14ac:dyDescent="0.25">
      <c r="B22" s="37">
        <v>3</v>
      </c>
      <c r="C22" s="1"/>
      <c r="D22" s="39" t="str">
        <f>IF(F22&gt;0,SUM(F22-C22),"0")</f>
        <v>0</v>
      </c>
      <c r="E22" s="1"/>
      <c r="F22" s="1"/>
      <c r="G22" s="31"/>
      <c r="H22" s="34"/>
      <c r="I22" s="37">
        <v>3</v>
      </c>
      <c r="J22" s="1"/>
      <c r="K22" s="39" t="str">
        <f>IF(M22&gt;0,SUM(M22-J22),"0")</f>
        <v>0</v>
      </c>
      <c r="L22" s="1"/>
      <c r="M22" s="1"/>
    </row>
    <row r="23" spans="1:13" x14ac:dyDescent="0.25">
      <c r="B23" s="37">
        <v>4</v>
      </c>
      <c r="C23" s="1"/>
      <c r="D23" s="39" t="str">
        <f>IF(F23&gt;0,SUM(F23-C23),"0")</f>
        <v>0</v>
      </c>
      <c r="E23" s="1"/>
      <c r="F23" s="1"/>
      <c r="G23" s="31"/>
      <c r="H23" s="34"/>
      <c r="I23" s="37">
        <v>4</v>
      </c>
      <c r="J23" s="1"/>
      <c r="K23" s="39" t="str">
        <f>IF(M23&gt;0,SUM(M23-J23),"0")</f>
        <v>0</v>
      </c>
      <c r="L23" s="1"/>
      <c r="M23" s="1"/>
    </row>
    <row r="24" spans="1:13" x14ac:dyDescent="0.25">
      <c r="C24" s="38">
        <f>SUM(C20:C23)</f>
        <v>0</v>
      </c>
      <c r="D24" s="38">
        <f>SUM(D20:D23)</f>
        <v>0</v>
      </c>
      <c r="E24" s="38">
        <f>SUM(E20:E23)</f>
        <v>0</v>
      </c>
      <c r="F24" s="38">
        <f>SUM(C20:D23)</f>
        <v>0</v>
      </c>
      <c r="G24" s="31"/>
      <c r="H24" s="34"/>
      <c r="J24" s="38">
        <f>SUM(J20:J23)</f>
        <v>0</v>
      </c>
      <c r="K24" s="38">
        <f>SUM(K20:K23)</f>
        <v>0</v>
      </c>
      <c r="L24" s="38">
        <f>SUM(L20:L23)</f>
        <v>0</v>
      </c>
      <c r="M24" s="38">
        <f>SUM(J20:K23)</f>
        <v>0</v>
      </c>
    </row>
    <row r="25" spans="1:13" x14ac:dyDescent="0.25">
      <c r="G25" s="31"/>
      <c r="H25" s="34"/>
    </row>
    <row r="26" spans="1:13" x14ac:dyDescent="0.25">
      <c r="A26" s="7" t="s">
        <v>29</v>
      </c>
      <c r="B26" s="35" t="s">
        <v>30</v>
      </c>
      <c r="C26" s="35" t="s">
        <v>10</v>
      </c>
      <c r="D26" s="35" t="s">
        <v>31</v>
      </c>
      <c r="E26" s="35" t="s">
        <v>32</v>
      </c>
      <c r="F26" s="35" t="s">
        <v>13</v>
      </c>
      <c r="G26" s="31"/>
      <c r="H26" s="34" t="s">
        <v>29</v>
      </c>
      <c r="I26" s="35" t="s">
        <v>30</v>
      </c>
      <c r="J26" s="35" t="s">
        <v>10</v>
      </c>
      <c r="K26" s="35" t="s">
        <v>31</v>
      </c>
      <c r="L26" s="35" t="s">
        <v>32</v>
      </c>
      <c r="M26" s="35" t="s">
        <v>13</v>
      </c>
    </row>
    <row r="27" spans="1:13" x14ac:dyDescent="0.25">
      <c r="A27" s="36">
        <f>Spielbericht!A15</f>
        <v>0</v>
      </c>
      <c r="B27" s="37">
        <v>1</v>
      </c>
      <c r="C27" s="1"/>
      <c r="D27" s="39" t="str">
        <f>IF(F27&gt;0,SUM(F27-C27),"0")</f>
        <v>0</v>
      </c>
      <c r="E27" s="1"/>
      <c r="F27" s="1"/>
      <c r="G27" s="31"/>
      <c r="H27" s="36">
        <f>Spielbericht!W15</f>
        <v>0</v>
      </c>
      <c r="I27" s="37">
        <v>1</v>
      </c>
      <c r="J27" s="1"/>
      <c r="K27" s="39" t="str">
        <f>IF(M27&gt;0,SUM(M27-J27),"0")</f>
        <v>0</v>
      </c>
      <c r="L27" s="1"/>
      <c r="M27" s="1"/>
    </row>
    <row r="28" spans="1:13" x14ac:dyDescent="0.25">
      <c r="B28" s="37">
        <v>2</v>
      </c>
      <c r="C28" s="1"/>
      <c r="D28" s="39" t="str">
        <f>IF(F28&gt;0,SUM(F28-C28),"0")</f>
        <v>0</v>
      </c>
      <c r="E28" s="1"/>
      <c r="F28" s="1"/>
      <c r="G28" s="31"/>
      <c r="H28" s="34"/>
      <c r="I28" s="37">
        <v>2</v>
      </c>
      <c r="J28" s="1"/>
      <c r="K28" s="39" t="str">
        <f>IF(M28&gt;0,SUM(M28-J28),"0")</f>
        <v>0</v>
      </c>
      <c r="L28" s="1"/>
      <c r="M28" s="1"/>
    </row>
    <row r="29" spans="1:13" x14ac:dyDescent="0.25">
      <c r="B29" s="37">
        <v>3</v>
      </c>
      <c r="C29" s="1"/>
      <c r="D29" s="39" t="str">
        <f>IF(F29&gt;0,SUM(F29-C29),"0")</f>
        <v>0</v>
      </c>
      <c r="E29" s="1"/>
      <c r="F29" s="1"/>
      <c r="G29" s="31"/>
      <c r="H29" s="34"/>
      <c r="I29" s="37">
        <v>3</v>
      </c>
      <c r="J29" s="1"/>
      <c r="K29" s="39" t="str">
        <f>IF(M29&gt;0,SUM(M29-J29),"0")</f>
        <v>0</v>
      </c>
      <c r="L29" s="1"/>
      <c r="M29" s="1"/>
    </row>
    <row r="30" spans="1:13" x14ac:dyDescent="0.25">
      <c r="B30" s="37">
        <v>4</v>
      </c>
      <c r="C30" s="1"/>
      <c r="D30" s="39" t="str">
        <f>IF(F30&gt;0,SUM(F30-C30),"0")</f>
        <v>0</v>
      </c>
      <c r="E30" s="1"/>
      <c r="F30" s="1"/>
      <c r="G30" s="31"/>
      <c r="H30" s="34"/>
      <c r="I30" s="37">
        <v>4</v>
      </c>
      <c r="J30" s="1"/>
      <c r="K30" s="39" t="str">
        <f>IF(M30&gt;0,SUM(M30-J30),"0")</f>
        <v>0</v>
      </c>
      <c r="L30" s="1"/>
      <c r="M30" s="1"/>
    </row>
    <row r="31" spans="1:13" x14ac:dyDescent="0.25">
      <c r="C31" s="38">
        <f>SUM(C27:C30)</f>
        <v>0</v>
      </c>
      <c r="D31" s="38">
        <f>SUM(D27:D30)</f>
        <v>0</v>
      </c>
      <c r="E31" s="38">
        <f>SUM(E27:E30)</f>
        <v>0</v>
      </c>
      <c r="F31" s="38">
        <f>SUM(C27:D30)</f>
        <v>0</v>
      </c>
      <c r="G31" s="31"/>
      <c r="H31" s="34"/>
      <c r="J31" s="38">
        <f>SUM(J27:J30)</f>
        <v>0</v>
      </c>
      <c r="K31" s="38">
        <f>SUM(K27:K30)</f>
        <v>0</v>
      </c>
      <c r="L31" s="38">
        <f>SUM(L27:L30)</f>
        <v>0</v>
      </c>
      <c r="M31" s="38">
        <f>SUM(J27:K30)</f>
        <v>0</v>
      </c>
    </row>
    <row r="32" spans="1:13" x14ac:dyDescent="0.25">
      <c r="G32" s="31"/>
      <c r="H32" s="34"/>
    </row>
    <row r="33" spans="1:13" x14ac:dyDescent="0.25">
      <c r="A33" s="7" t="s">
        <v>29</v>
      </c>
      <c r="B33" s="35" t="s">
        <v>30</v>
      </c>
      <c r="C33" s="35" t="s">
        <v>10</v>
      </c>
      <c r="D33" s="35" t="s">
        <v>31</v>
      </c>
      <c r="E33" s="35" t="s">
        <v>32</v>
      </c>
      <c r="F33" s="35" t="s">
        <v>13</v>
      </c>
      <c r="G33" s="31"/>
      <c r="H33" s="34" t="s">
        <v>29</v>
      </c>
      <c r="I33" s="35" t="s">
        <v>30</v>
      </c>
      <c r="J33" s="35" t="s">
        <v>10</v>
      </c>
      <c r="K33" s="35" t="s">
        <v>31</v>
      </c>
      <c r="L33" s="35" t="s">
        <v>32</v>
      </c>
      <c r="M33" s="35" t="s">
        <v>13</v>
      </c>
    </row>
    <row r="34" spans="1:13" x14ac:dyDescent="0.25">
      <c r="A34" s="36">
        <f>Spielbericht!A16</f>
        <v>0</v>
      </c>
      <c r="B34" s="37">
        <v>1</v>
      </c>
      <c r="C34" s="1"/>
      <c r="D34" s="39" t="str">
        <f>IF(F34&gt;0,SUM(F34-C34),"0")</f>
        <v>0</v>
      </c>
      <c r="E34" s="1"/>
      <c r="F34" s="1"/>
      <c r="G34" s="31"/>
      <c r="H34" s="36">
        <f>Spielbericht!W16</f>
        <v>0</v>
      </c>
      <c r="I34" s="37">
        <v>1</v>
      </c>
      <c r="J34" s="1"/>
      <c r="K34" s="39" t="str">
        <f>IF(M34&gt;0,SUM(M34-J34),"0")</f>
        <v>0</v>
      </c>
      <c r="L34" s="1"/>
      <c r="M34" s="1"/>
    </row>
    <row r="35" spans="1:13" x14ac:dyDescent="0.25">
      <c r="B35" s="37">
        <v>2</v>
      </c>
      <c r="C35" s="1"/>
      <c r="D35" s="39" t="str">
        <f>IF(F35&gt;0,SUM(F35-C35),"0")</f>
        <v>0</v>
      </c>
      <c r="E35" s="1"/>
      <c r="F35" s="1"/>
      <c r="G35" s="31"/>
      <c r="H35" s="34"/>
      <c r="I35" s="37">
        <v>2</v>
      </c>
      <c r="J35" s="1"/>
      <c r="K35" s="39" t="str">
        <f>IF(M35&gt;0,SUM(M35-J35),"0")</f>
        <v>0</v>
      </c>
      <c r="L35" s="1"/>
      <c r="M35" s="1"/>
    </row>
    <row r="36" spans="1:13" x14ac:dyDescent="0.25">
      <c r="B36" s="37">
        <v>3</v>
      </c>
      <c r="C36" s="1"/>
      <c r="D36" s="39" t="str">
        <f>IF(F36&gt;0,SUM(F36-C36),"0")</f>
        <v>0</v>
      </c>
      <c r="E36" s="1"/>
      <c r="F36" s="1"/>
      <c r="G36" s="31"/>
      <c r="H36" s="34"/>
      <c r="I36" s="37">
        <v>3</v>
      </c>
      <c r="J36" s="1"/>
      <c r="K36" s="39" t="str">
        <f>IF(M36&gt;0,SUM(M36-J36),"0")</f>
        <v>0</v>
      </c>
      <c r="L36" s="1"/>
      <c r="M36" s="1"/>
    </row>
    <row r="37" spans="1:13" x14ac:dyDescent="0.25">
      <c r="B37" s="37">
        <v>4</v>
      </c>
      <c r="C37" s="1"/>
      <c r="D37" s="39" t="str">
        <f>IF(F37&gt;0,SUM(F37-C37),"0")</f>
        <v>0</v>
      </c>
      <c r="E37" s="1"/>
      <c r="F37" s="1"/>
      <c r="G37" s="31"/>
      <c r="H37" s="34"/>
      <c r="I37" s="37">
        <v>4</v>
      </c>
      <c r="J37" s="1"/>
      <c r="K37" s="39" t="str">
        <f>IF(M37&gt;0,SUM(M37-J37),"0")</f>
        <v>0</v>
      </c>
      <c r="L37" s="1"/>
      <c r="M37" s="1"/>
    </row>
    <row r="38" spans="1:13" x14ac:dyDescent="0.25">
      <c r="C38" s="38">
        <f>SUM(C34:C37)</f>
        <v>0</v>
      </c>
      <c r="D38" s="38">
        <f>SUM(D34:D37)</f>
        <v>0</v>
      </c>
      <c r="E38" s="38">
        <f>SUM(E34:E37)</f>
        <v>0</v>
      </c>
      <c r="F38" s="38">
        <f>SUM(C34:D37)</f>
        <v>0</v>
      </c>
      <c r="G38" s="31"/>
      <c r="H38" s="34"/>
      <c r="J38" s="38">
        <f>SUM(J34:J37)</f>
        <v>0</v>
      </c>
      <c r="K38" s="38">
        <f>SUM(K34:K37)</f>
        <v>0</v>
      </c>
      <c r="L38" s="38">
        <f>SUM(L34:L37)</f>
        <v>0</v>
      </c>
      <c r="M38" s="38">
        <f>SUM(J34:K37)</f>
        <v>0</v>
      </c>
    </row>
    <row r="39" spans="1:13" x14ac:dyDescent="0.25">
      <c r="G39" s="31"/>
      <c r="H39" s="34"/>
    </row>
  </sheetData>
  <sheetProtection sheet="1" objects="1" scenarios="1"/>
  <mergeCells count="4">
    <mergeCell ref="B1:C1"/>
    <mergeCell ref="I1:J1"/>
    <mergeCell ref="A3:F3"/>
    <mergeCell ref="H3:M3"/>
  </mergeCells>
  <conditionalFormatting sqref="A1:M2 A4:M38 A3:H3">
    <cfRule type="expression" dxfId="0" priority="1">
      <formula>CELL("Schutz",A1)=0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DBB8E-EEEA-4217-9F7B-44C836C5B010}">
  <dimension ref="A1:Z1048576"/>
  <sheetViews>
    <sheetView workbookViewId="0">
      <selection activeCell="AE9" sqref="AE9"/>
    </sheetView>
  </sheetViews>
  <sheetFormatPr baseColWidth="10" defaultRowHeight="15" x14ac:dyDescent="0.25"/>
  <cols>
    <col min="1" max="4" width="8.7109375" customWidth="1"/>
    <col min="5" max="5" width="1.7109375" customWidth="1"/>
    <col min="6" max="9" width="8.7109375" customWidth="1"/>
    <col min="10" max="10" width="7.28515625" customWidth="1"/>
    <col min="11" max="11" width="5.140625" customWidth="1"/>
    <col min="12" max="12" width="2.140625" customWidth="1"/>
    <col min="13" max="14" width="10.5703125" customWidth="1"/>
    <col min="15" max="15" width="7.7109375" customWidth="1"/>
    <col min="16" max="16" width="4.85546875" customWidth="1"/>
    <col min="17" max="17" width="8.7109375" customWidth="1"/>
    <col min="18" max="18" width="2" customWidth="1"/>
    <col min="19" max="19" width="8.42578125" customWidth="1"/>
    <col min="20" max="20" width="10" customWidth="1"/>
    <col min="21" max="21" width="11.140625" customWidth="1"/>
    <col min="22" max="22" width="1.5703125" customWidth="1"/>
    <col min="23" max="23" width="10.28515625" customWidth="1"/>
    <col min="24" max="24" width="9.7109375" customWidth="1"/>
    <col min="25" max="25" width="9.42578125" customWidth="1"/>
    <col min="26" max="26" width="10.7109375" customWidth="1"/>
    <col min="27" max="27" width="2" customWidth="1"/>
    <col min="28" max="30" width="8.7109375" customWidth="1"/>
  </cols>
  <sheetData>
    <row r="1" spans="1:26" ht="15.75" thickBot="1" x14ac:dyDescent="0.3">
      <c r="A1" s="123">
        <f>Spielbericht!H9</f>
        <v>0</v>
      </c>
      <c r="B1" s="123"/>
      <c r="C1" s="123"/>
      <c r="D1" s="123"/>
      <c r="F1" s="123" t="s">
        <v>34</v>
      </c>
      <c r="G1" s="123"/>
      <c r="H1" s="123"/>
      <c r="I1" s="123"/>
      <c r="J1" s="2" t="s">
        <v>35</v>
      </c>
      <c r="K1" s="2" t="s">
        <v>36</v>
      </c>
      <c r="M1" s="127" t="s">
        <v>37</v>
      </c>
      <c r="N1" s="126"/>
      <c r="O1" s="2" t="s">
        <v>35</v>
      </c>
      <c r="P1" s="2" t="s">
        <v>36</v>
      </c>
      <c r="Q1" s="2"/>
      <c r="R1" s="47"/>
      <c r="S1" s="123" t="s">
        <v>32</v>
      </c>
      <c r="T1" s="123"/>
      <c r="U1" s="123"/>
      <c r="W1" s="50" t="s">
        <v>10</v>
      </c>
      <c r="X1" s="50" t="s">
        <v>37</v>
      </c>
      <c r="Y1" s="50" t="s">
        <v>32</v>
      </c>
      <c r="Z1" s="50" t="s">
        <v>13</v>
      </c>
    </row>
    <row r="2" spans="1:26" ht="15.75" thickBot="1" x14ac:dyDescent="0.3">
      <c r="A2" s="2">
        <f>Ergebnisse!C10+0.00011</f>
        <v>1.1E-4</v>
      </c>
      <c r="B2" s="2">
        <f>Ergebnisse!D10+0.00021</f>
        <v>2.1000000000000001E-4</v>
      </c>
      <c r="C2" s="2">
        <f>Ergebnisse!E10+0.00031</f>
        <v>3.1E-4</v>
      </c>
      <c r="D2" s="5">
        <f>Ergebnisse!F10+0.00041</f>
        <v>4.0999999999999999E-4</v>
      </c>
      <c r="F2" s="43">
        <f>IF(A2="",0,INDEX($A$2:$A$6,MATCH(I2,$D$2:$D$6,0)))</f>
        <v>1.4999999999999999E-4</v>
      </c>
      <c r="G2" s="43">
        <f>IF(B2="",0,INDEX($B$2:$B$6,MATCH(I2,$D$2:$D$6,0)))</f>
        <v>2.5000000000000001E-4</v>
      </c>
      <c r="H2" s="43">
        <f>IF(C2="",0,INDEX($C$2:$C$6,MATCH(I2,$D$2:$D$6,0)))</f>
        <v>3.5E-4</v>
      </c>
      <c r="I2" s="43">
        <f>IF(D2="",0,LARGE($D$2:$D$6,ROW(A1)))</f>
        <v>4.4999999999999999E-4</v>
      </c>
      <c r="J2" s="45">
        <f>ROUND(I2,0)</f>
        <v>0</v>
      </c>
      <c r="K2" s="27">
        <f>_xlfn.RANK.EQ(J2,J$2:J$6,1)</f>
        <v>1</v>
      </c>
      <c r="L2" s="28"/>
      <c r="M2" s="46">
        <f>IF(K2=1,G2,G2+1000)</f>
        <v>2.5000000000000001E-4</v>
      </c>
      <c r="N2" s="46">
        <f>IF(M2&lt;1000,LARGE($M$2:$M$6,1),M2)</f>
        <v>2.5000000000000001E-4</v>
      </c>
      <c r="O2" s="45">
        <f>ROUND(N2,0)</f>
        <v>0</v>
      </c>
      <c r="P2" s="45">
        <f t="shared" ref="P2:P5" si="0">_xlfn.RANK.EQ(O2,O$2:O$6,1)</f>
        <v>1</v>
      </c>
      <c r="Q2" s="46">
        <f>IF(N2&gt;500,G2,N2)</f>
        <v>2.5000000000000001E-4</v>
      </c>
      <c r="R2" s="48"/>
      <c r="S2" s="43">
        <f>IF(C2="",0,INDEX($H$2:$H$6,MATCH(Q2,$G$2:$G$6,0)))</f>
        <v>3.5E-4</v>
      </c>
      <c r="T2" s="43">
        <f>IF(P2=1,S2,S2-500)</f>
        <v>3.5E-4</v>
      </c>
      <c r="U2" s="43">
        <f>IF(T2&gt;0,LARGE($T$2:$T$6,5),T2)</f>
        <v>3.1E-4</v>
      </c>
      <c r="V2" s="44"/>
      <c r="W2" s="51">
        <f>IF(C2="",0,INDEX($A$2:$A$6,MATCH(Y2,$C$2:$C$6,0)))</f>
        <v>1.1E-4</v>
      </c>
      <c r="X2" s="51">
        <f>IF(C2="",0,INDEX($B$2:$B$6,MATCH(Y2,$C$2:$C$6,0)))</f>
        <v>2.1000000000000001E-4</v>
      </c>
      <c r="Y2" s="50">
        <f>IF(U2&lt;0,S2,U2)</f>
        <v>3.1E-4</v>
      </c>
      <c r="Z2" s="51">
        <f>IF(C2="",0,INDEX($D$2:$D$6,MATCH(Y2,$C$2:$C$6,0)))</f>
        <v>4.0999999999999999E-4</v>
      </c>
    </row>
    <row r="3" spans="1:26" ht="15.75" thickBot="1" x14ac:dyDescent="0.3">
      <c r="A3" s="2">
        <f>Ergebnisse!C17+0.00012</f>
        <v>1.2E-4</v>
      </c>
      <c r="B3" s="2">
        <f>Ergebnisse!D17+0.00022</f>
        <v>2.2000000000000001E-4</v>
      </c>
      <c r="C3" s="2">
        <f>Ergebnisse!E17+0.00032</f>
        <v>3.2000000000000003E-4</v>
      </c>
      <c r="D3" s="5">
        <f>Ergebnisse!F17+0.00042</f>
        <v>4.2000000000000002E-4</v>
      </c>
      <c r="F3" s="43">
        <f t="shared" ref="F3:F6" si="1">IF(A3="",0,INDEX($A$2:$A$6,MATCH(I3,$D$2:$D$6,0)))</f>
        <v>1.3999999999999999E-4</v>
      </c>
      <c r="G3" s="43">
        <f t="shared" ref="G3:G6" si="2">IF(B3="",0,INDEX($B$2:$B$6,MATCH(I3,$D$2:$D$6,0)))</f>
        <v>2.4000000000000001E-4</v>
      </c>
      <c r="H3" s="43">
        <f t="shared" ref="H3:H6" si="3">IF(C3="",0,INDEX($C$2:$C$6,MATCH(I3,$D$2:$D$6,0)))</f>
        <v>3.4000000000000002E-4</v>
      </c>
      <c r="I3" s="43">
        <f t="shared" ref="I3:I6" si="4">IF(D3="",0,LARGE($D$2:$D$6,ROW(A2)))</f>
        <v>4.4000000000000002E-4</v>
      </c>
      <c r="J3" s="45">
        <f>ROUND(I3,0)</f>
        <v>0</v>
      </c>
      <c r="K3" s="27">
        <f t="shared" ref="K3:K6" si="5">_xlfn.RANK.EQ(J3,J$2:J$6,1)</f>
        <v>1</v>
      </c>
      <c r="L3" s="28"/>
      <c r="M3" s="46">
        <f>IF(K3=1,G3,G3+1000)</f>
        <v>2.4000000000000001E-4</v>
      </c>
      <c r="N3" s="46">
        <f>IF(M3&lt;1000,LARGE($M$2:$M$6,2),M3)</f>
        <v>2.4000000000000001E-4</v>
      </c>
      <c r="O3" s="45">
        <f t="shared" ref="O3:O6" si="6">ROUND(N3,0)</f>
        <v>0</v>
      </c>
      <c r="P3" s="45">
        <f t="shared" si="0"/>
        <v>1</v>
      </c>
      <c r="Q3" s="46">
        <f t="shared" ref="Q3:Q6" si="7">IF(N3&gt;500,G3,N3)</f>
        <v>2.4000000000000001E-4</v>
      </c>
      <c r="R3" s="48"/>
      <c r="S3" s="43">
        <f t="shared" ref="S3:S6" si="8">IF(C3="",0,INDEX($H$2:$H$6,MATCH(Q3,$G$2:$G$6,0)))</f>
        <v>3.4000000000000002E-4</v>
      </c>
      <c r="T3" s="43">
        <f t="shared" ref="T3:T6" si="9">IF(P3=1,S3,S3-500)</f>
        <v>3.4000000000000002E-4</v>
      </c>
      <c r="U3" s="43">
        <f>IF(T3&gt;0,LARGE($T$2:$T$6,4),T3)</f>
        <v>3.2000000000000003E-4</v>
      </c>
      <c r="V3" s="44"/>
      <c r="W3" s="51">
        <f t="shared" ref="W3:W6" si="10">IF(C3="",0,INDEX($A$2:$A$6,MATCH(Y3,$C$2:$C$6,0)))</f>
        <v>1.2E-4</v>
      </c>
      <c r="X3" s="51">
        <f t="shared" ref="X3:X6" si="11">IF(C3="",0,INDEX($B$2:$B$6,MATCH(Y3,$C$2:$C$6,0)))</f>
        <v>2.2000000000000001E-4</v>
      </c>
      <c r="Y3" s="50">
        <f t="shared" ref="Y3:Y6" si="12">IF(U3&lt;0,S3,U3)</f>
        <v>3.2000000000000003E-4</v>
      </c>
      <c r="Z3" s="51">
        <f t="shared" ref="Z3:Z6" si="13">IF(C3="",0,INDEX($D$2:$D$6,MATCH(Y3,$C$2:$C$6,0)))</f>
        <v>4.2000000000000002E-4</v>
      </c>
    </row>
    <row r="4" spans="1:26" ht="15.75" thickBot="1" x14ac:dyDescent="0.3">
      <c r="A4" s="2">
        <f>Ergebnisse!C24+0.00013</f>
        <v>1.2999999999999999E-4</v>
      </c>
      <c r="B4" s="2">
        <f>Ergebnisse!D24+0.00023</f>
        <v>2.3000000000000001E-4</v>
      </c>
      <c r="C4" s="2">
        <f>Ergebnisse!E24+0.00033</f>
        <v>3.3E-4</v>
      </c>
      <c r="D4" s="5">
        <f>Ergebnisse!F24+0.00043</f>
        <v>4.2999999999999999E-4</v>
      </c>
      <c r="F4" s="43">
        <f t="shared" si="1"/>
        <v>1.2999999999999999E-4</v>
      </c>
      <c r="G4" s="43">
        <f t="shared" si="2"/>
        <v>2.3000000000000001E-4</v>
      </c>
      <c r="H4" s="43">
        <f t="shared" si="3"/>
        <v>3.3E-4</v>
      </c>
      <c r="I4" s="43">
        <f t="shared" si="4"/>
        <v>4.2999999999999999E-4</v>
      </c>
      <c r="J4" s="45">
        <f>ROUND(I4,0)</f>
        <v>0</v>
      </c>
      <c r="K4" s="27">
        <f t="shared" si="5"/>
        <v>1</v>
      </c>
      <c r="L4" s="28"/>
      <c r="M4" s="46">
        <f>IF(K4=1,G4,G4+1000)</f>
        <v>2.3000000000000001E-4</v>
      </c>
      <c r="N4" s="46">
        <f>IF(M4&lt;1000,LARGE($M$2:$M$6,3),M4)</f>
        <v>2.3000000000000001E-4</v>
      </c>
      <c r="O4" s="45">
        <f t="shared" si="6"/>
        <v>0</v>
      </c>
      <c r="P4" s="45">
        <f t="shared" si="0"/>
        <v>1</v>
      </c>
      <c r="Q4" s="46">
        <f t="shared" si="7"/>
        <v>2.3000000000000001E-4</v>
      </c>
      <c r="R4" s="48"/>
      <c r="S4" s="43">
        <f t="shared" si="8"/>
        <v>3.3E-4</v>
      </c>
      <c r="T4" s="43">
        <f t="shared" si="9"/>
        <v>3.3E-4</v>
      </c>
      <c r="U4" s="43">
        <f>IF(T4&gt;0,LARGE($T$2:$T$6,3),T4)</f>
        <v>3.3E-4</v>
      </c>
      <c r="V4" s="44"/>
      <c r="W4" s="51">
        <f t="shared" si="10"/>
        <v>1.2999999999999999E-4</v>
      </c>
      <c r="X4" s="51">
        <f t="shared" si="11"/>
        <v>2.3000000000000001E-4</v>
      </c>
      <c r="Y4" s="50">
        <f t="shared" si="12"/>
        <v>3.3E-4</v>
      </c>
      <c r="Z4" s="51">
        <f t="shared" si="13"/>
        <v>4.2999999999999999E-4</v>
      </c>
    </row>
    <row r="5" spans="1:26" ht="15.75" thickBot="1" x14ac:dyDescent="0.3">
      <c r="A5" s="2">
        <f>Ergebnisse!C31+0.00014</f>
        <v>1.3999999999999999E-4</v>
      </c>
      <c r="B5" s="2">
        <f>Ergebnisse!D31+0.00024</f>
        <v>2.4000000000000001E-4</v>
      </c>
      <c r="C5" s="2">
        <f>Ergebnisse!E31+0.00034</f>
        <v>3.4000000000000002E-4</v>
      </c>
      <c r="D5" s="5">
        <f>Ergebnisse!F31+0.00044</f>
        <v>4.4000000000000002E-4</v>
      </c>
      <c r="F5" s="43">
        <f t="shared" si="1"/>
        <v>1.2E-4</v>
      </c>
      <c r="G5" s="43">
        <f t="shared" si="2"/>
        <v>2.2000000000000001E-4</v>
      </c>
      <c r="H5" s="43">
        <f t="shared" si="3"/>
        <v>3.2000000000000003E-4</v>
      </c>
      <c r="I5" s="43">
        <f t="shared" si="4"/>
        <v>4.2000000000000002E-4</v>
      </c>
      <c r="J5" s="45">
        <f>ROUND(I5,0)</f>
        <v>0</v>
      </c>
      <c r="K5" s="27">
        <f t="shared" si="5"/>
        <v>1</v>
      </c>
      <c r="L5" s="28"/>
      <c r="M5" s="46">
        <f>IF(K5=1,G5,G5+1000)</f>
        <v>2.2000000000000001E-4</v>
      </c>
      <c r="N5" s="46">
        <f>IF(M5&lt;1000,LARGE($M$2:$M$6,4),M5)</f>
        <v>2.2000000000000001E-4</v>
      </c>
      <c r="O5" s="45">
        <f t="shared" si="6"/>
        <v>0</v>
      </c>
      <c r="P5" s="45">
        <f t="shared" si="0"/>
        <v>1</v>
      </c>
      <c r="Q5" s="46">
        <f t="shared" si="7"/>
        <v>2.2000000000000001E-4</v>
      </c>
      <c r="R5" s="48"/>
      <c r="S5" s="43">
        <f t="shared" si="8"/>
        <v>3.2000000000000003E-4</v>
      </c>
      <c r="T5" s="43">
        <f t="shared" si="9"/>
        <v>3.2000000000000003E-4</v>
      </c>
      <c r="U5" s="43">
        <f>IF(T5&gt;0,LARGE($T$2:$T$6,2),T5)</f>
        <v>3.4000000000000002E-4</v>
      </c>
      <c r="V5" s="44"/>
      <c r="W5" s="51">
        <f t="shared" si="10"/>
        <v>1.3999999999999999E-4</v>
      </c>
      <c r="X5" s="51">
        <f t="shared" si="11"/>
        <v>2.4000000000000001E-4</v>
      </c>
      <c r="Y5" s="50">
        <f t="shared" si="12"/>
        <v>3.4000000000000002E-4</v>
      </c>
      <c r="Z5" s="51">
        <f t="shared" si="13"/>
        <v>4.4000000000000002E-4</v>
      </c>
    </row>
    <row r="6" spans="1:26" ht="15.75" thickBot="1" x14ac:dyDescent="0.3">
      <c r="A6" s="2">
        <f>Ergebnisse!C38+0.00015</f>
        <v>1.4999999999999999E-4</v>
      </c>
      <c r="B6" s="2">
        <f>Ergebnisse!D38+0.00025</f>
        <v>2.5000000000000001E-4</v>
      </c>
      <c r="C6" s="2">
        <f>Ergebnisse!E38+0.00035</f>
        <v>3.5E-4</v>
      </c>
      <c r="D6" s="5">
        <f>Ergebnisse!F38+0.00045</f>
        <v>4.4999999999999999E-4</v>
      </c>
      <c r="F6" s="43">
        <f t="shared" si="1"/>
        <v>1.1E-4</v>
      </c>
      <c r="G6" s="43">
        <f t="shared" si="2"/>
        <v>2.1000000000000001E-4</v>
      </c>
      <c r="H6" s="43">
        <f t="shared" si="3"/>
        <v>3.1E-4</v>
      </c>
      <c r="I6" s="43">
        <f t="shared" si="4"/>
        <v>4.0999999999999999E-4</v>
      </c>
      <c r="J6" s="45">
        <f>ROUND(I6,0)</f>
        <v>0</v>
      </c>
      <c r="K6" s="27">
        <f t="shared" si="5"/>
        <v>1</v>
      </c>
      <c r="L6" s="28"/>
      <c r="M6" s="46">
        <f>IF(K6=1,G6,G6+1000)</f>
        <v>2.1000000000000001E-4</v>
      </c>
      <c r="N6" s="46">
        <f>IF(M6&lt;1000,LARGE($M$2:$M$6,5),M6)</f>
        <v>2.1000000000000001E-4</v>
      </c>
      <c r="O6" s="45">
        <f t="shared" si="6"/>
        <v>0</v>
      </c>
      <c r="P6" s="45">
        <f>_xlfn.RANK.EQ(O6,O$2:O$6,1)</f>
        <v>1</v>
      </c>
      <c r="Q6" s="46">
        <f t="shared" si="7"/>
        <v>2.1000000000000001E-4</v>
      </c>
      <c r="R6" s="48"/>
      <c r="S6" s="43">
        <f t="shared" si="8"/>
        <v>3.1E-4</v>
      </c>
      <c r="T6" s="43">
        <f t="shared" si="9"/>
        <v>3.1E-4</v>
      </c>
      <c r="U6" s="43">
        <f>IF(T6&gt;0,LARGE($T$2:$T$6,1),T6)</f>
        <v>3.5E-4</v>
      </c>
      <c r="V6" s="44"/>
      <c r="W6" s="51">
        <f t="shared" si="10"/>
        <v>1.4999999999999999E-4</v>
      </c>
      <c r="X6" s="51">
        <f t="shared" si="11"/>
        <v>2.5000000000000001E-4</v>
      </c>
      <c r="Y6" s="50">
        <f t="shared" si="12"/>
        <v>3.5E-4</v>
      </c>
      <c r="Z6" s="51">
        <f t="shared" si="13"/>
        <v>4.4999999999999999E-4</v>
      </c>
    </row>
    <row r="7" spans="1:26" ht="15.75" thickBot="1" x14ac:dyDescent="0.3"/>
    <row r="8" spans="1:26" ht="15.75" thickBot="1" x14ac:dyDescent="0.3">
      <c r="A8" s="124">
        <f>Spielbericht!AH9</f>
        <v>0</v>
      </c>
      <c r="B8" s="125"/>
      <c r="C8" s="125"/>
      <c r="D8" s="126"/>
      <c r="F8" s="123" t="s">
        <v>33</v>
      </c>
      <c r="G8" s="123"/>
      <c r="H8" s="123"/>
      <c r="I8" s="123"/>
      <c r="J8" s="2" t="s">
        <v>35</v>
      </c>
      <c r="K8" s="2" t="s">
        <v>36</v>
      </c>
      <c r="M8" s="127" t="s">
        <v>37</v>
      </c>
      <c r="N8" s="126"/>
      <c r="O8" s="2" t="s">
        <v>35</v>
      </c>
      <c r="P8" s="2" t="s">
        <v>36</v>
      </c>
      <c r="Q8" s="2"/>
      <c r="R8" s="47"/>
      <c r="S8" s="123" t="s">
        <v>32</v>
      </c>
      <c r="T8" s="123"/>
      <c r="U8" s="123"/>
      <c r="W8" s="50" t="s">
        <v>10</v>
      </c>
      <c r="X8" s="50" t="s">
        <v>37</v>
      </c>
      <c r="Y8" s="50" t="s">
        <v>32</v>
      </c>
      <c r="Z8" s="50" t="s">
        <v>13</v>
      </c>
    </row>
    <row r="9" spans="1:26" ht="15.75" thickBot="1" x14ac:dyDescent="0.3">
      <c r="A9" s="5">
        <f>Ergebnisse!J10+0.00011</f>
        <v>1.1E-4</v>
      </c>
      <c r="B9" s="5">
        <f>Ergebnisse!K10+0.00021</f>
        <v>2.1000000000000001E-4</v>
      </c>
      <c r="C9" s="5">
        <f>Ergebnisse!L10+0.00031</f>
        <v>3.1E-4</v>
      </c>
      <c r="D9" s="5">
        <f>Ergebnisse!M10+0.00041</f>
        <v>4.0999999999999999E-4</v>
      </c>
      <c r="F9" s="43">
        <f>IF(A9="",0,INDEX($A$9:$A$13,MATCH(I9,$D$9:$D$13,0)))</f>
        <v>1.4999999999999999E-4</v>
      </c>
      <c r="G9" s="43">
        <f>IF(B9="",0,INDEX($B$9:$B$13,MATCH(I9,$D$9:$D$13,0)))</f>
        <v>2.5000000000000001E-4</v>
      </c>
      <c r="H9" s="43">
        <f>IF(C9="",0,INDEX($C$9:$C$13,MATCH(I9,$D$9:$D$13,0)))</f>
        <v>3.5E-4</v>
      </c>
      <c r="I9" s="43">
        <f>IF(D9="",0,LARGE($D$9:$D$13,ROW(A1)))</f>
        <v>4.4999999999999999E-4</v>
      </c>
      <c r="J9" s="45">
        <f>ROUND(I9,0)</f>
        <v>0</v>
      </c>
      <c r="K9" s="49">
        <f>_xlfn.RANK.EQ(J9,J$9:J$13,1)</f>
        <v>1</v>
      </c>
      <c r="M9" s="46">
        <f t="shared" ref="M9:M13" si="14">IF(K9=1,G9,G9+1000)</f>
        <v>2.5000000000000001E-4</v>
      </c>
      <c r="N9" s="46">
        <f>IF(M9&lt;1000,LARGE($M$9:$M$13,1),M9)</f>
        <v>2.5000000000000001E-4</v>
      </c>
      <c r="O9" s="45">
        <f t="shared" ref="O9:O13" si="15">ROUND(N9,0)</f>
        <v>0</v>
      </c>
      <c r="P9" s="45">
        <f>_xlfn.RANK.EQ(O9,O$9:O$13,1)</f>
        <v>1</v>
      </c>
      <c r="Q9" s="46">
        <f t="shared" ref="Q9:Q13" si="16">IF(N9&gt;500,G9,N9)</f>
        <v>2.5000000000000001E-4</v>
      </c>
      <c r="S9" s="43">
        <f>IF(C9="",0,INDEX($H$9:$H$13,MATCH(Q9,$G$9:$G$13,0)))</f>
        <v>3.5E-4</v>
      </c>
      <c r="T9" s="43">
        <f t="shared" ref="T9:T13" si="17">IF(P9=1,S9,S9-500)</f>
        <v>3.5E-4</v>
      </c>
      <c r="U9" s="43">
        <f>IF(T9&gt;0,LARGE($T$9:$T$13,5),T9)</f>
        <v>3.1E-4</v>
      </c>
      <c r="W9" s="51">
        <f>IF(C9="",0,INDEX($A$9:$A$13,MATCH(Y9,$C$9:$C$13,0)))</f>
        <v>1.1E-4</v>
      </c>
      <c r="X9" s="51">
        <f>IF(C9="",0,INDEX($B$9:$B$13,MATCH(Y9,$C$9:$C$13,0)))</f>
        <v>2.1000000000000001E-4</v>
      </c>
      <c r="Y9" s="50">
        <f t="shared" ref="Y9:Y13" si="18">IF(U9&lt;0,S9,U9)</f>
        <v>3.1E-4</v>
      </c>
      <c r="Z9" s="51">
        <f>IF(C9="",0,INDEX($D$9:$D$13,MATCH(Y9,$C$9:$C$13,0)))</f>
        <v>4.0999999999999999E-4</v>
      </c>
    </row>
    <row r="10" spans="1:26" ht="15.75" thickBot="1" x14ac:dyDescent="0.3">
      <c r="A10" s="5">
        <f>Ergebnisse!J17+0.00012</f>
        <v>1.2E-4</v>
      </c>
      <c r="B10" s="5">
        <f>Ergebnisse!K17+0.00022</f>
        <v>2.2000000000000001E-4</v>
      </c>
      <c r="C10" s="5">
        <f>Ergebnisse!L17+0.00032</f>
        <v>3.2000000000000003E-4</v>
      </c>
      <c r="D10" s="5">
        <f>Ergebnisse!M17+0.00042</f>
        <v>4.2000000000000002E-4</v>
      </c>
      <c r="F10" s="43">
        <f t="shared" ref="F10:F13" si="19">IF(A10="",0,INDEX($A$9:$A$13,MATCH(I10,$D$9:$D$13,0)))</f>
        <v>1.3999999999999999E-4</v>
      </c>
      <c r="G10" s="43">
        <f t="shared" ref="G10:G13" si="20">IF(B10="",0,INDEX($B$9:$B$13,MATCH(I10,$D$9:$D$13,0)))</f>
        <v>2.4000000000000001E-4</v>
      </c>
      <c r="H10" s="43">
        <f t="shared" ref="H10:H13" si="21">IF(C10="",0,INDEX($C$9:$C$13,MATCH(I10,$D$9:$D$13,0)))</f>
        <v>3.4000000000000002E-4</v>
      </c>
      <c r="I10" s="43">
        <f t="shared" ref="I10:I13" si="22">IF(D10="",0,LARGE($D$9:$D$13,ROW(A2)))</f>
        <v>4.4000000000000002E-4</v>
      </c>
      <c r="J10" s="45">
        <f t="shared" ref="J10:J13" si="23">ROUND(I10,0)</f>
        <v>0</v>
      </c>
      <c r="K10" s="49">
        <f t="shared" ref="K10:K13" si="24">_xlfn.RANK.EQ(J10,J$9:J$13,1)</f>
        <v>1</v>
      </c>
      <c r="M10" s="46">
        <f t="shared" si="14"/>
        <v>2.4000000000000001E-4</v>
      </c>
      <c r="N10" s="46">
        <f>IF(M10&lt;1000,LARGE($M$9:$M$13,2),M10)</f>
        <v>2.4000000000000001E-4</v>
      </c>
      <c r="O10" s="45">
        <f t="shared" si="15"/>
        <v>0</v>
      </c>
      <c r="P10" s="45">
        <f t="shared" ref="P10:P13" si="25">_xlfn.RANK.EQ(O10,O$9:O$13,1)</f>
        <v>1</v>
      </c>
      <c r="Q10" s="46">
        <f t="shared" si="16"/>
        <v>2.4000000000000001E-4</v>
      </c>
      <c r="S10" s="43">
        <f t="shared" ref="S10:S13" si="26">IF(C10="",0,INDEX($H$9:$H$13,MATCH(Q10,$G$9:$G$13,0)))</f>
        <v>3.4000000000000002E-4</v>
      </c>
      <c r="T10" s="43">
        <f t="shared" si="17"/>
        <v>3.4000000000000002E-4</v>
      </c>
      <c r="U10" s="43">
        <f>IF(T10&gt;0,LARGE($T$9:$T$13,4),T10)</f>
        <v>3.2000000000000003E-4</v>
      </c>
      <c r="W10" s="51">
        <f t="shared" ref="W10:W13" si="27">IF(C10="",0,INDEX($A$9:$A$13,MATCH(Y10,$C$9:$C$13,0)))</f>
        <v>1.2E-4</v>
      </c>
      <c r="X10" s="51">
        <f t="shared" ref="X10:X13" si="28">IF(C10="",0,INDEX($B$9:$B$13,MATCH(Y10,$C$9:$C$13,0)))</f>
        <v>2.2000000000000001E-4</v>
      </c>
      <c r="Y10" s="50">
        <f t="shared" si="18"/>
        <v>3.2000000000000003E-4</v>
      </c>
      <c r="Z10" s="51">
        <f t="shared" ref="Z10:Z13" si="29">IF(C10="",0,INDEX($D$9:$D$13,MATCH(Y10,$C$9:$C$13,0)))</f>
        <v>4.2000000000000002E-4</v>
      </c>
    </row>
    <row r="11" spans="1:26" ht="15.75" thickBot="1" x14ac:dyDescent="0.3">
      <c r="A11" s="5">
        <f>Ergebnisse!J24+0.00013</f>
        <v>1.2999999999999999E-4</v>
      </c>
      <c r="B11" s="5">
        <f>Ergebnisse!K24+0.00023</f>
        <v>2.3000000000000001E-4</v>
      </c>
      <c r="C11" s="5">
        <f>Ergebnisse!L24+0.00033</f>
        <v>3.3E-4</v>
      </c>
      <c r="D11" s="5">
        <f>Ergebnisse!M24+0.00043</f>
        <v>4.2999999999999999E-4</v>
      </c>
      <c r="F11" s="43">
        <f t="shared" si="19"/>
        <v>1.2999999999999999E-4</v>
      </c>
      <c r="G11" s="43">
        <f t="shared" si="20"/>
        <v>2.3000000000000001E-4</v>
      </c>
      <c r="H11" s="43">
        <f t="shared" si="21"/>
        <v>3.3E-4</v>
      </c>
      <c r="I11" s="43">
        <f t="shared" si="22"/>
        <v>4.2999999999999999E-4</v>
      </c>
      <c r="J11" s="45">
        <f t="shared" si="23"/>
        <v>0</v>
      </c>
      <c r="K11" s="49">
        <f t="shared" si="24"/>
        <v>1</v>
      </c>
      <c r="M11" s="46">
        <f t="shared" si="14"/>
        <v>2.3000000000000001E-4</v>
      </c>
      <c r="N11" s="46">
        <f>IF(M11&lt;1000,LARGE($M$9:$M$13,3),M11)</f>
        <v>2.3000000000000001E-4</v>
      </c>
      <c r="O11" s="45">
        <f t="shared" si="15"/>
        <v>0</v>
      </c>
      <c r="P11" s="45">
        <f t="shared" si="25"/>
        <v>1</v>
      </c>
      <c r="Q11" s="46">
        <f t="shared" si="16"/>
        <v>2.3000000000000001E-4</v>
      </c>
      <c r="S11" s="43">
        <f t="shared" si="26"/>
        <v>3.3E-4</v>
      </c>
      <c r="T11" s="43">
        <f t="shared" si="17"/>
        <v>3.3E-4</v>
      </c>
      <c r="U11" s="43">
        <f>IF(T11&gt;0,LARGE($T$9:$T$13,3),T11)</f>
        <v>3.3E-4</v>
      </c>
      <c r="W11" s="51">
        <f t="shared" si="27"/>
        <v>1.2999999999999999E-4</v>
      </c>
      <c r="X11" s="51">
        <f t="shared" si="28"/>
        <v>2.3000000000000001E-4</v>
      </c>
      <c r="Y11" s="50">
        <f t="shared" si="18"/>
        <v>3.3E-4</v>
      </c>
      <c r="Z11" s="51">
        <f t="shared" si="29"/>
        <v>4.2999999999999999E-4</v>
      </c>
    </row>
    <row r="12" spans="1:26" ht="15.75" thickBot="1" x14ac:dyDescent="0.3">
      <c r="A12" s="5">
        <f>Ergebnisse!J31+0.00014</f>
        <v>1.3999999999999999E-4</v>
      </c>
      <c r="B12" s="5">
        <f>Ergebnisse!K31+0.00024</f>
        <v>2.4000000000000001E-4</v>
      </c>
      <c r="C12" s="5">
        <f>Ergebnisse!L31+0.00034</f>
        <v>3.4000000000000002E-4</v>
      </c>
      <c r="D12" s="5">
        <f>Ergebnisse!M31+0.00044</f>
        <v>4.4000000000000002E-4</v>
      </c>
      <c r="F12" s="43">
        <f t="shared" si="19"/>
        <v>1.2E-4</v>
      </c>
      <c r="G12" s="43">
        <f t="shared" si="20"/>
        <v>2.2000000000000001E-4</v>
      </c>
      <c r="H12" s="43">
        <f t="shared" si="21"/>
        <v>3.2000000000000003E-4</v>
      </c>
      <c r="I12" s="43">
        <f t="shared" si="22"/>
        <v>4.2000000000000002E-4</v>
      </c>
      <c r="J12" s="45">
        <f t="shared" si="23"/>
        <v>0</v>
      </c>
      <c r="K12" s="49">
        <f t="shared" si="24"/>
        <v>1</v>
      </c>
      <c r="M12" s="46">
        <f t="shared" si="14"/>
        <v>2.2000000000000001E-4</v>
      </c>
      <c r="N12" s="46">
        <f>IF(M12&lt;1000,LARGE($M$9:$M$13,4),M12)</f>
        <v>2.2000000000000001E-4</v>
      </c>
      <c r="O12" s="45">
        <f t="shared" si="15"/>
        <v>0</v>
      </c>
      <c r="P12" s="45">
        <f t="shared" si="25"/>
        <v>1</v>
      </c>
      <c r="Q12" s="46">
        <f t="shared" si="16"/>
        <v>2.2000000000000001E-4</v>
      </c>
      <c r="S12" s="43">
        <f t="shared" si="26"/>
        <v>3.2000000000000003E-4</v>
      </c>
      <c r="T12" s="43">
        <f t="shared" si="17"/>
        <v>3.2000000000000003E-4</v>
      </c>
      <c r="U12" s="43">
        <f>IF(T12&gt;0,LARGE($T$9:$T$13,2),T12)</f>
        <v>3.4000000000000002E-4</v>
      </c>
      <c r="W12" s="51">
        <f t="shared" si="27"/>
        <v>1.3999999999999999E-4</v>
      </c>
      <c r="X12" s="51">
        <f t="shared" si="28"/>
        <v>2.4000000000000001E-4</v>
      </c>
      <c r="Y12" s="50">
        <f t="shared" si="18"/>
        <v>3.4000000000000002E-4</v>
      </c>
      <c r="Z12" s="51">
        <f t="shared" si="29"/>
        <v>4.4000000000000002E-4</v>
      </c>
    </row>
    <row r="13" spans="1:26" ht="15.75" thickBot="1" x14ac:dyDescent="0.3">
      <c r="A13" s="5">
        <f>Ergebnisse!J38+0.00015</f>
        <v>1.4999999999999999E-4</v>
      </c>
      <c r="B13" s="5">
        <f>Ergebnisse!K38+0.00025</f>
        <v>2.5000000000000001E-4</v>
      </c>
      <c r="C13" s="5">
        <f>Ergebnisse!L38+0.00035</f>
        <v>3.5E-4</v>
      </c>
      <c r="D13" s="5">
        <f>Ergebnisse!M38+0.00045</f>
        <v>4.4999999999999999E-4</v>
      </c>
      <c r="F13" s="43">
        <f t="shared" si="19"/>
        <v>1.1E-4</v>
      </c>
      <c r="G13" s="43">
        <f t="shared" si="20"/>
        <v>2.1000000000000001E-4</v>
      </c>
      <c r="H13" s="43">
        <f t="shared" si="21"/>
        <v>3.1E-4</v>
      </c>
      <c r="I13" s="43">
        <f t="shared" si="22"/>
        <v>4.0999999999999999E-4</v>
      </c>
      <c r="J13" s="45">
        <f t="shared" si="23"/>
        <v>0</v>
      </c>
      <c r="K13" s="49">
        <f t="shared" si="24"/>
        <v>1</v>
      </c>
      <c r="M13" s="46">
        <f t="shared" si="14"/>
        <v>2.1000000000000001E-4</v>
      </c>
      <c r="N13" s="46">
        <f>IF(M13&lt;1000,LARGE($M$9:$M$13,5),M13)</f>
        <v>2.1000000000000001E-4</v>
      </c>
      <c r="O13" s="45">
        <f t="shared" si="15"/>
        <v>0</v>
      </c>
      <c r="P13" s="45">
        <f t="shared" si="25"/>
        <v>1</v>
      </c>
      <c r="Q13" s="46">
        <f t="shared" si="16"/>
        <v>2.1000000000000001E-4</v>
      </c>
      <c r="S13" s="43">
        <f t="shared" si="26"/>
        <v>3.1E-4</v>
      </c>
      <c r="T13" s="43">
        <f t="shared" si="17"/>
        <v>3.1E-4</v>
      </c>
      <c r="U13" s="43">
        <f>IF(T13&gt;0,LARGE($T$9:$T$13,1),T13)</f>
        <v>3.5E-4</v>
      </c>
      <c r="W13" s="51">
        <f t="shared" si="27"/>
        <v>1.4999999999999999E-4</v>
      </c>
      <c r="X13" s="51">
        <f t="shared" si="28"/>
        <v>2.5000000000000001E-4</v>
      </c>
      <c r="Y13" s="50">
        <f t="shared" si="18"/>
        <v>3.5E-4</v>
      </c>
      <c r="Z13" s="51">
        <f t="shared" si="29"/>
        <v>4.4999999999999999E-4</v>
      </c>
    </row>
    <row r="1048576" spans="4:4" x14ac:dyDescent="0.25">
      <c r="D1048576">
        <f>SUM(D1:D1048575)</f>
        <v>4.3E-3</v>
      </c>
    </row>
  </sheetData>
  <sheetProtection sheet="1" objects="1" scenarios="1"/>
  <mergeCells count="8">
    <mergeCell ref="S1:U1"/>
    <mergeCell ref="A1:D1"/>
    <mergeCell ref="F1:I1"/>
    <mergeCell ref="A8:D8"/>
    <mergeCell ref="F8:I8"/>
    <mergeCell ref="M1:N1"/>
    <mergeCell ref="M8:N8"/>
    <mergeCell ref="S8:U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Spielbericht</vt:lpstr>
      <vt:lpstr>Ergebnisse</vt:lpstr>
      <vt:lpstr>Berechnung</vt:lpstr>
      <vt:lpstr>Spielbericht!Druckbereich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Junghanns</dc:creator>
  <cp:lastModifiedBy>Martin Junghanns</cp:lastModifiedBy>
  <cp:lastPrinted>2019-09-27T04:16:10Z</cp:lastPrinted>
  <dcterms:created xsi:type="dcterms:W3CDTF">2019-09-20T08:00:58Z</dcterms:created>
  <dcterms:modified xsi:type="dcterms:W3CDTF">2019-09-30T17:52:40Z</dcterms:modified>
</cp:coreProperties>
</file>